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hueng-my.sharepoint.com/personal/rachel_ackermann_fhueng_com/Documents/120366-02 2026 BUILD Grant for US 85 and 120th Ave/"/>
    </mc:Choice>
  </mc:AlternateContent>
  <xr:revisionPtr revIDLastSave="1455" documentId="8_{56AA055E-8032-2B45-8FDD-4881670B0D03}" xr6:coauthVersionLast="47" xr6:coauthVersionMax="47" xr10:uidLastSave="{F7987D26-7D32-0A42-8760-6AEFACDB3353}"/>
  <bookViews>
    <workbookView xWindow="35840" yWindow="-2160" windowWidth="38400" windowHeight="21000" tabRatio="868" firstSheet="1" activeTab="2" xr2:uid="{00000000-000D-0000-FFFF-FFFF00000000}"/>
  </bookViews>
  <sheets>
    <sheet name="BCA Summary" sheetId="1" r:id="rId1"/>
    <sheet name="BCA" sheetId="21" r:id="rId2"/>
    <sheet name="Summary of Benefits" sheetId="10" r:id="rId3"/>
    <sheet name="Timeline &amp; Costs" sheetId="2" r:id="rId4"/>
    <sheet name="Safety - Veh" sheetId="8" r:id="rId5"/>
    <sheet name="Safety - Railroad" sheetId="26" r:id="rId6"/>
    <sheet name="Train Operating Costs" sheetId="28" r:id="rId7"/>
    <sheet name="Travel Time Savings" sheetId="9" r:id="rId8"/>
    <sheet name="Operations &amp; Maintenance" sheetId="5" r:id="rId9"/>
    <sheet name="Residual Value" sheetId="23" r:id="rId10"/>
    <sheet name="Emissions Reductions" sheetId="19" r:id="rId11"/>
    <sheet name="Traffic" sheetId="13" r:id="rId12"/>
  </sheets>
  <definedNames>
    <definedName name="_xlnm.Print_Area" localSheetId="2">'Summary of Benefits'!$A$1:$AF$125</definedName>
    <definedName name="_xlnm.Print_Area" localSheetId="3">'Timeline &amp; Costs'!$A$1:$N$19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" i="23" l="1"/>
  <c r="F63" i="2"/>
  <c r="G63" i="2"/>
  <c r="H63" i="2"/>
  <c r="I63" i="2"/>
  <c r="J63" i="2"/>
  <c r="K63" i="2"/>
  <c r="E63" i="2"/>
  <c r="K59" i="2"/>
  <c r="K60" i="2"/>
  <c r="K61" i="2"/>
  <c r="K62" i="2"/>
  <c r="K58" i="2"/>
  <c r="G58" i="2"/>
  <c r="H58" i="2"/>
  <c r="I58" i="2"/>
  <c r="J58" i="2"/>
  <c r="G59" i="2"/>
  <c r="H59" i="2"/>
  <c r="I59" i="2"/>
  <c r="J59" i="2"/>
  <c r="G60" i="2"/>
  <c r="H60" i="2"/>
  <c r="I60" i="2"/>
  <c r="J60" i="2"/>
  <c r="G61" i="2"/>
  <c r="H61" i="2"/>
  <c r="I61" i="2"/>
  <c r="J61" i="2"/>
  <c r="G62" i="2"/>
  <c r="H62" i="2"/>
  <c r="I62" i="2"/>
  <c r="J62" i="2"/>
  <c r="F62" i="2"/>
  <c r="F61" i="2"/>
  <c r="F60" i="2"/>
  <c r="F59" i="2"/>
  <c r="F58" i="2"/>
  <c r="E62" i="2"/>
  <c r="E61" i="2"/>
  <c r="E60" i="2"/>
  <c r="E58" i="2"/>
  <c r="E59" i="2"/>
  <c r="N22" i="5"/>
  <c r="A36" i="5"/>
  <c r="A35" i="5"/>
  <c r="B33" i="5"/>
  <c r="B23" i="5"/>
  <c r="B22" i="5"/>
  <c r="B28" i="5"/>
  <c r="B29" i="5"/>
  <c r="B32" i="5"/>
  <c r="R26" i="2" l="1"/>
  <c r="S26" i="2" s="1"/>
  <c r="S27" i="2" s="1"/>
  <c r="S42" i="2"/>
  <c r="S43" i="2" s="1"/>
  <c r="R42" i="2"/>
  <c r="Q42" i="2"/>
  <c r="P42" i="2"/>
  <c r="S36" i="2"/>
  <c r="S41" i="2"/>
  <c r="S45" i="2"/>
  <c r="P38" i="2"/>
  <c r="M36" i="2" l="1"/>
  <c r="N36" i="2"/>
  <c r="F36" i="2"/>
  <c r="G36" i="2"/>
  <c r="H36" i="2"/>
  <c r="I36" i="2"/>
  <c r="J36" i="2"/>
  <c r="K36" i="2"/>
  <c r="L36" i="2"/>
  <c r="E23" i="2"/>
  <c r="D132" i="10"/>
  <c r="D79" i="10"/>
  <c r="A14" i="21"/>
  <c r="H62" i="8" l="1"/>
  <c r="I61" i="8"/>
  <c r="I60" i="8"/>
  <c r="B13" i="1" l="1"/>
  <c r="B12" i="1"/>
  <c r="A14" i="10"/>
  <c r="A13" i="10"/>
  <c r="A5" i="28"/>
  <c r="G52" i="9"/>
  <c r="H52" i="9" s="1"/>
  <c r="I52" i="9"/>
  <c r="N52" i="9"/>
  <c r="N53" i="9"/>
  <c r="F60" i="9"/>
  <c r="G60" i="9"/>
  <c r="H60" i="9" s="1"/>
  <c r="F61" i="9"/>
  <c r="G61" i="9" s="1"/>
  <c r="H61" i="9" s="1"/>
  <c r="G64" i="9"/>
  <c r="H64" i="9" s="1"/>
  <c r="G65" i="9"/>
  <c r="H65" i="9" s="1"/>
  <c r="G40" i="28"/>
  <c r="H40" i="28" s="1"/>
  <c r="G39" i="28"/>
  <c r="H39" i="28" s="1"/>
  <c r="F35" i="28"/>
  <c r="F36" i="28" s="1"/>
  <c r="G36" i="28" s="1"/>
  <c r="N28" i="28"/>
  <c r="N27" i="28"/>
  <c r="I27" i="28"/>
  <c r="G27" i="28"/>
  <c r="H27" i="28" s="1"/>
  <c r="A18" i="28"/>
  <c r="A17" i="28"/>
  <c r="B14" i="28"/>
  <c r="B13" i="28"/>
  <c r="B11" i="28"/>
  <c r="B10" i="28"/>
  <c r="AS7" i="28"/>
  <c r="AR7" i="28"/>
  <c r="AQ7" i="28"/>
  <c r="AP7" i="28"/>
  <c r="AO7" i="28"/>
  <c r="AN7" i="28"/>
  <c r="AM7" i="28"/>
  <c r="AM11" i="28" s="1"/>
  <c r="AL7" i="28"/>
  <c r="AL11" i="28" s="1"/>
  <c r="AK7" i="28"/>
  <c r="AK11" i="28" s="1"/>
  <c r="AJ7" i="28"/>
  <c r="AJ11" i="28" s="1"/>
  <c r="AI7" i="28"/>
  <c r="AH7" i="28"/>
  <c r="AG7" i="28"/>
  <c r="AF7" i="28"/>
  <c r="AE7" i="28"/>
  <c r="AE11" i="28" s="1"/>
  <c r="AD7" i="28"/>
  <c r="AC7" i="28"/>
  <c r="AB7" i="28"/>
  <c r="AA7" i="28"/>
  <c r="Z7" i="28"/>
  <c r="Y7" i="28"/>
  <c r="X7" i="28"/>
  <c r="W7" i="28"/>
  <c r="W11" i="28" s="1"/>
  <c r="V7" i="28"/>
  <c r="V11" i="28" s="1"/>
  <c r="U7" i="28"/>
  <c r="U11" i="28" s="1"/>
  <c r="T7" i="28"/>
  <c r="T11" i="28" s="1"/>
  <c r="S7" i="28"/>
  <c r="R7" i="28"/>
  <c r="Q7" i="28"/>
  <c r="P7" i="28"/>
  <c r="O7" i="28"/>
  <c r="O11" i="28" s="1"/>
  <c r="N7" i="28"/>
  <c r="M7" i="28"/>
  <c r="L7" i="28"/>
  <c r="K7" i="28"/>
  <c r="J7" i="28"/>
  <c r="I7" i="28"/>
  <c r="H7" i="28"/>
  <c r="G7" i="28"/>
  <c r="G11" i="28" s="1"/>
  <c r="F7" i="28"/>
  <c r="F11" i="28" s="1"/>
  <c r="E7" i="28"/>
  <c r="E11" i="28" s="1"/>
  <c r="B7" i="28"/>
  <c r="AS6" i="28"/>
  <c r="AR6" i="28"/>
  <c r="AQ6" i="28"/>
  <c r="AP6" i="28"/>
  <c r="AO6" i="28"/>
  <c r="AO10" i="28" s="1"/>
  <c r="AN6" i="28"/>
  <c r="AM6" i="28"/>
  <c r="AL6" i="28"/>
  <c r="AK6" i="28"/>
  <c r="AJ6" i="28"/>
  <c r="AI6" i="28"/>
  <c r="AH6" i="28"/>
  <c r="AG6" i="28"/>
  <c r="AG10" i="28" s="1"/>
  <c r="AF6" i="28"/>
  <c r="AF10" i="28" s="1"/>
  <c r="AE6" i="28"/>
  <c r="AE10" i="28" s="1"/>
  <c r="AD6" i="28"/>
  <c r="AD10" i="28" s="1"/>
  <c r="AC6" i="28"/>
  <c r="AB6" i="28"/>
  <c r="AA6" i="28"/>
  <c r="Z6" i="28"/>
  <c r="Y6" i="28"/>
  <c r="Y10" i="28" s="1"/>
  <c r="X6" i="28"/>
  <c r="W6" i="28"/>
  <c r="V6" i="28"/>
  <c r="U6" i="28"/>
  <c r="T6" i="28"/>
  <c r="S6" i="28"/>
  <c r="R6" i="28"/>
  <c r="Q6" i="28"/>
  <c r="Q10" i="28" s="1"/>
  <c r="P6" i="28"/>
  <c r="P10" i="28" s="1"/>
  <c r="O6" i="28"/>
  <c r="O10" i="28" s="1"/>
  <c r="N6" i="28"/>
  <c r="N10" i="28" s="1"/>
  <c r="M6" i="28"/>
  <c r="L6" i="28"/>
  <c r="K6" i="28"/>
  <c r="J6" i="28"/>
  <c r="I6" i="28"/>
  <c r="I10" i="28" s="1"/>
  <c r="H6" i="28"/>
  <c r="G6" i="28"/>
  <c r="F6" i="28"/>
  <c r="E6" i="28"/>
  <c r="B6" i="28"/>
  <c r="AS4" i="28"/>
  <c r="AR4" i="28"/>
  <c r="AQ4" i="28"/>
  <c r="AP4" i="28"/>
  <c r="AO4" i="28"/>
  <c r="AN4" i="28"/>
  <c r="AM4" i="28"/>
  <c r="AL4" i="28"/>
  <c r="AK4" i="28"/>
  <c r="AJ4" i="28"/>
  <c r="AI4" i="28"/>
  <c r="AH4" i="28"/>
  <c r="AG4" i="28"/>
  <c r="AF4" i="28"/>
  <c r="AE4" i="28"/>
  <c r="AD4" i="28"/>
  <c r="AC4" i="28"/>
  <c r="AB4" i="28"/>
  <c r="AA4" i="28"/>
  <c r="Z4" i="28"/>
  <c r="Y4" i="28"/>
  <c r="X4" i="28"/>
  <c r="W4" i="28"/>
  <c r="V4" i="28"/>
  <c r="U4" i="28"/>
  <c r="T4" i="28"/>
  <c r="S4" i="28"/>
  <c r="R4" i="28"/>
  <c r="Q4" i="28"/>
  <c r="P4" i="28"/>
  <c r="O4" i="28"/>
  <c r="N4" i="28"/>
  <c r="M4" i="28"/>
  <c r="L4" i="28"/>
  <c r="K4" i="28"/>
  <c r="J4" i="28"/>
  <c r="I4" i="28"/>
  <c r="H4" i="28"/>
  <c r="G4" i="28"/>
  <c r="F4" i="28"/>
  <c r="E4" i="28"/>
  <c r="A2" i="28"/>
  <c r="A51" i="10"/>
  <c r="A50" i="10"/>
  <c r="A46" i="10"/>
  <c r="A45" i="10"/>
  <c r="A40" i="10"/>
  <c r="A39" i="10"/>
  <c r="A36" i="10"/>
  <c r="A35" i="10"/>
  <c r="A32" i="10"/>
  <c r="A31" i="10"/>
  <c r="A27" i="10"/>
  <c r="A26" i="10"/>
  <c r="A23" i="10"/>
  <c r="A22" i="10"/>
  <c r="A19" i="10"/>
  <c r="A18" i="10"/>
  <c r="A7" i="10"/>
  <c r="A8" i="10"/>
  <c r="E4" i="13"/>
  <c r="F4" i="13"/>
  <c r="G4" i="13"/>
  <c r="H4" i="13"/>
  <c r="I4" i="13"/>
  <c r="J4" i="13"/>
  <c r="K4" i="13"/>
  <c r="L4" i="13"/>
  <c r="M4" i="13"/>
  <c r="N4" i="13"/>
  <c r="O4" i="13"/>
  <c r="P4" i="13"/>
  <c r="Q4" i="13"/>
  <c r="R4" i="13"/>
  <c r="S4" i="13"/>
  <c r="T4" i="13"/>
  <c r="U4" i="13"/>
  <c r="V4" i="13"/>
  <c r="W4" i="13"/>
  <c r="X4" i="13"/>
  <c r="Y4" i="13"/>
  <c r="Z4" i="13"/>
  <c r="AA4" i="13"/>
  <c r="AB4" i="13"/>
  <c r="AC4" i="13"/>
  <c r="AD4" i="13"/>
  <c r="AE4" i="13"/>
  <c r="AF4" i="13"/>
  <c r="AG4" i="13"/>
  <c r="AH4" i="13"/>
  <c r="AI4" i="13"/>
  <c r="AJ4" i="13"/>
  <c r="AK4" i="13"/>
  <c r="AL4" i="13"/>
  <c r="AM4" i="13"/>
  <c r="AN4" i="13"/>
  <c r="AO4" i="13"/>
  <c r="AP4" i="13"/>
  <c r="AQ4" i="13"/>
  <c r="AR4" i="13"/>
  <c r="D4" i="13"/>
  <c r="G4" i="19"/>
  <c r="H4" i="19"/>
  <c r="I4" i="19"/>
  <c r="J4" i="19"/>
  <c r="K4" i="19"/>
  <c r="L4" i="19"/>
  <c r="M4" i="19"/>
  <c r="N4" i="19"/>
  <c r="O4" i="19"/>
  <c r="P4" i="19"/>
  <c r="Q4" i="19"/>
  <c r="R4" i="19"/>
  <c r="S4" i="19"/>
  <c r="T4" i="19"/>
  <c r="U4" i="19"/>
  <c r="V4" i="19"/>
  <c r="W4" i="19"/>
  <c r="X4" i="19"/>
  <c r="Y4" i="19"/>
  <c r="Z4" i="19"/>
  <c r="AA4" i="19"/>
  <c r="AB4" i="19"/>
  <c r="AC4" i="19"/>
  <c r="AD4" i="19"/>
  <c r="AE4" i="19"/>
  <c r="AF4" i="19"/>
  <c r="AG4" i="19"/>
  <c r="AH4" i="19"/>
  <c r="AI4" i="19"/>
  <c r="AJ4" i="19"/>
  <c r="AK4" i="19"/>
  <c r="AL4" i="19"/>
  <c r="AM4" i="19"/>
  <c r="AN4" i="19"/>
  <c r="AO4" i="19"/>
  <c r="AP4" i="19"/>
  <c r="AQ4" i="19"/>
  <c r="AR4" i="19"/>
  <c r="AS4" i="19"/>
  <c r="E4" i="19"/>
  <c r="F4" i="19"/>
  <c r="E4" i="5"/>
  <c r="F4" i="5"/>
  <c r="G4" i="5"/>
  <c r="H4" i="5"/>
  <c r="I4" i="5"/>
  <c r="J4" i="5"/>
  <c r="K4" i="5"/>
  <c r="L4" i="5"/>
  <c r="M4" i="5"/>
  <c r="N4" i="5"/>
  <c r="O4" i="5"/>
  <c r="P4" i="5"/>
  <c r="Q4" i="5"/>
  <c r="R4" i="5"/>
  <c r="S4" i="5"/>
  <c r="T4" i="5"/>
  <c r="U4" i="5"/>
  <c r="V4" i="5"/>
  <c r="W4" i="5"/>
  <c r="X4" i="5"/>
  <c r="Y4" i="5"/>
  <c r="Z4" i="5"/>
  <c r="AA4" i="5"/>
  <c r="AB4" i="5"/>
  <c r="AC4" i="5"/>
  <c r="AD4" i="5"/>
  <c r="AE4" i="5"/>
  <c r="AF4" i="5"/>
  <c r="AG4" i="5"/>
  <c r="AH4" i="5"/>
  <c r="AI4" i="5"/>
  <c r="AJ4" i="5"/>
  <c r="AK4" i="5"/>
  <c r="AL4" i="5"/>
  <c r="AM4" i="5"/>
  <c r="AN4" i="5"/>
  <c r="AO4" i="5"/>
  <c r="AP4" i="5"/>
  <c r="AQ4" i="5"/>
  <c r="AR4" i="5"/>
  <c r="D4" i="5"/>
  <c r="F4" i="9"/>
  <c r="G4" i="9"/>
  <c r="H4" i="9"/>
  <c r="I4" i="9"/>
  <c r="J4" i="9"/>
  <c r="K4" i="9"/>
  <c r="L4" i="9"/>
  <c r="M4" i="9"/>
  <c r="N4" i="9"/>
  <c r="O4" i="9"/>
  <c r="P4" i="9"/>
  <c r="Q4" i="9"/>
  <c r="R4" i="9"/>
  <c r="S4" i="9"/>
  <c r="T4" i="9"/>
  <c r="U4" i="9"/>
  <c r="V4" i="9"/>
  <c r="W4" i="9"/>
  <c r="X4" i="9"/>
  <c r="Y4" i="9"/>
  <c r="Z4" i="9"/>
  <c r="AA4" i="9"/>
  <c r="AB4" i="9"/>
  <c r="AC4" i="9"/>
  <c r="AD4" i="9"/>
  <c r="AE4" i="9"/>
  <c r="AF4" i="9"/>
  <c r="AG4" i="9"/>
  <c r="AH4" i="9"/>
  <c r="AI4" i="9"/>
  <c r="AJ4" i="9"/>
  <c r="AK4" i="9"/>
  <c r="AL4" i="9"/>
  <c r="AM4" i="9"/>
  <c r="AN4" i="9"/>
  <c r="AO4" i="9"/>
  <c r="AP4" i="9"/>
  <c r="AQ4" i="9"/>
  <c r="AR4" i="9"/>
  <c r="AS4" i="9"/>
  <c r="E4" i="9"/>
  <c r="G4" i="26"/>
  <c r="H4" i="26"/>
  <c r="I4" i="26"/>
  <c r="J4" i="26"/>
  <c r="K4" i="26"/>
  <c r="L4" i="26"/>
  <c r="M4" i="26"/>
  <c r="N4" i="26"/>
  <c r="O4" i="26"/>
  <c r="P4" i="26"/>
  <c r="Q4" i="26"/>
  <c r="R4" i="26"/>
  <c r="S4" i="26"/>
  <c r="T4" i="26"/>
  <c r="U4" i="26"/>
  <c r="V4" i="26"/>
  <c r="W4" i="26"/>
  <c r="X4" i="26"/>
  <c r="Y4" i="26"/>
  <c r="Z4" i="26"/>
  <c r="AA4" i="26"/>
  <c r="AB4" i="26"/>
  <c r="AC4" i="26"/>
  <c r="AD4" i="26"/>
  <c r="AE4" i="26"/>
  <c r="AF4" i="26"/>
  <c r="AG4" i="26"/>
  <c r="AH4" i="26"/>
  <c r="AI4" i="26"/>
  <c r="AJ4" i="26"/>
  <c r="AK4" i="26"/>
  <c r="AL4" i="26"/>
  <c r="AM4" i="26"/>
  <c r="AN4" i="26"/>
  <c r="AO4" i="26"/>
  <c r="AP4" i="26"/>
  <c r="AQ4" i="26"/>
  <c r="AR4" i="26"/>
  <c r="AS4" i="26"/>
  <c r="AT4" i="26"/>
  <c r="F4" i="26"/>
  <c r="F4" i="8"/>
  <c r="G4" i="8"/>
  <c r="H4" i="8"/>
  <c r="I4" i="8"/>
  <c r="J4" i="8"/>
  <c r="K4" i="8"/>
  <c r="L4" i="8"/>
  <c r="M4" i="8"/>
  <c r="N4" i="8"/>
  <c r="O4" i="8"/>
  <c r="P4" i="8"/>
  <c r="Q4" i="8"/>
  <c r="R4" i="8"/>
  <c r="S4" i="8"/>
  <c r="T4" i="8"/>
  <c r="U4" i="8"/>
  <c r="V4" i="8"/>
  <c r="W4" i="8"/>
  <c r="X4" i="8"/>
  <c r="Y4" i="8"/>
  <c r="Z4" i="8"/>
  <c r="AA4" i="8"/>
  <c r="AB4" i="8"/>
  <c r="AC4" i="8"/>
  <c r="AD4" i="8"/>
  <c r="AE4" i="8"/>
  <c r="AF4" i="8"/>
  <c r="AG4" i="8"/>
  <c r="AH4" i="8"/>
  <c r="AI4" i="8"/>
  <c r="AJ4" i="8"/>
  <c r="AK4" i="8"/>
  <c r="AL4" i="8"/>
  <c r="AM4" i="8"/>
  <c r="AN4" i="8"/>
  <c r="AO4" i="8"/>
  <c r="AP4" i="8"/>
  <c r="AQ4" i="8"/>
  <c r="AR4" i="8"/>
  <c r="AS4" i="8"/>
  <c r="E4" i="8"/>
  <c r="A33" i="9"/>
  <c r="A32" i="9"/>
  <c r="A29" i="9"/>
  <c r="A28" i="9"/>
  <c r="B25" i="9"/>
  <c r="B24" i="9"/>
  <c r="B22" i="9"/>
  <c r="B21" i="9"/>
  <c r="B19" i="9"/>
  <c r="B18" i="9"/>
  <c r="A10" i="9"/>
  <c r="A9" i="9"/>
  <c r="A14" i="9"/>
  <c r="A13" i="9"/>
  <c r="A48" i="8"/>
  <c r="A47" i="8"/>
  <c r="A44" i="8"/>
  <c r="A43" i="8"/>
  <c r="A40" i="8"/>
  <c r="A39" i="8"/>
  <c r="A28" i="8"/>
  <c r="A17" i="8"/>
  <c r="B15" i="8"/>
  <c r="B14" i="8"/>
  <c r="B11" i="8"/>
  <c r="B10" i="8"/>
  <c r="Q58" i="21"/>
  <c r="R58" i="21"/>
  <c r="S58" i="21"/>
  <c r="T58" i="21"/>
  <c r="U58" i="21"/>
  <c r="V58" i="21"/>
  <c r="W58" i="21"/>
  <c r="X58" i="21"/>
  <c r="Y58" i="21"/>
  <c r="Z58" i="21"/>
  <c r="AA58" i="21"/>
  <c r="AB58" i="21"/>
  <c r="AC58" i="21"/>
  <c r="AD58" i="21"/>
  <c r="AE58" i="21"/>
  <c r="AF58" i="21"/>
  <c r="AG58" i="21"/>
  <c r="AH58" i="21"/>
  <c r="AI58" i="21"/>
  <c r="AJ58" i="21"/>
  <c r="AK58" i="21"/>
  <c r="AL58" i="21"/>
  <c r="AM58" i="21"/>
  <c r="AN58" i="21"/>
  <c r="AO58" i="21"/>
  <c r="AP58" i="21"/>
  <c r="S18" i="2"/>
  <c r="P58" i="21" s="1"/>
  <c r="T18" i="2"/>
  <c r="Q36" i="2"/>
  <c r="R36" i="2"/>
  <c r="Q41" i="2"/>
  <c r="R41" i="2"/>
  <c r="F27" i="2"/>
  <c r="G27" i="2"/>
  <c r="H27" i="2"/>
  <c r="I27" i="2"/>
  <c r="J27" i="2"/>
  <c r="K27" i="2"/>
  <c r="L27" i="2"/>
  <c r="M27" i="2"/>
  <c r="N27" i="2"/>
  <c r="O27" i="2"/>
  <c r="P27" i="2"/>
  <c r="Q27" i="2"/>
  <c r="R27" i="2"/>
  <c r="E27" i="2"/>
  <c r="Q45" i="2"/>
  <c r="R45" i="2"/>
  <c r="E43" i="2"/>
  <c r="F43" i="2"/>
  <c r="G43" i="2"/>
  <c r="H43" i="2"/>
  <c r="I43" i="2"/>
  <c r="J43" i="2"/>
  <c r="K43" i="2"/>
  <c r="L43" i="2"/>
  <c r="M43" i="2"/>
  <c r="N43" i="2"/>
  <c r="P43" i="2"/>
  <c r="Q43" i="2"/>
  <c r="R43" i="2"/>
  <c r="O43" i="2"/>
  <c r="N45" i="2"/>
  <c r="O45" i="2"/>
  <c r="P45" i="2"/>
  <c r="N41" i="2"/>
  <c r="O41" i="2"/>
  <c r="P41" i="2"/>
  <c r="O36" i="2"/>
  <c r="P36" i="2"/>
  <c r="E36" i="2"/>
  <c r="E45" i="2"/>
  <c r="F45" i="2"/>
  <c r="H45" i="2"/>
  <c r="I45" i="2"/>
  <c r="J45" i="2"/>
  <c r="K45" i="2"/>
  <c r="L45" i="2"/>
  <c r="M45" i="2"/>
  <c r="G45" i="2"/>
  <c r="E41" i="2"/>
  <c r="F41" i="2"/>
  <c r="H41" i="2"/>
  <c r="I41" i="2"/>
  <c r="J41" i="2"/>
  <c r="K41" i="2"/>
  <c r="L41" i="2"/>
  <c r="M41" i="2"/>
  <c r="G41" i="2"/>
  <c r="D110" i="10"/>
  <c r="F91" i="10"/>
  <c r="F90" i="10"/>
  <c r="F89" i="10"/>
  <c r="D82" i="10"/>
  <c r="D91" i="10" s="1"/>
  <c r="D90" i="10"/>
  <c r="D76" i="10"/>
  <c r="D89" i="10" s="1"/>
  <c r="K6" i="23" l="1"/>
  <c r="J52" i="9"/>
  <c r="K52" i="9" s="1"/>
  <c r="L52" i="9"/>
  <c r="M52" i="9"/>
  <c r="J27" i="28"/>
  <c r="K27" i="28" s="1"/>
  <c r="M27" i="28" s="1"/>
  <c r="G35" i="28"/>
  <c r="L27" i="28"/>
  <c r="H36" i="28"/>
  <c r="R10" i="28"/>
  <c r="AH10" i="28"/>
  <c r="H11" i="28"/>
  <c r="X11" i="28"/>
  <c r="AN11" i="28"/>
  <c r="S10" i="28"/>
  <c r="AI10" i="28"/>
  <c r="I11" i="28"/>
  <c r="Y11" i="28"/>
  <c r="AO11" i="28"/>
  <c r="T10" i="28"/>
  <c r="AJ10" i="28"/>
  <c r="J11" i="28"/>
  <c r="Z11" i="28"/>
  <c r="AP11" i="28"/>
  <c r="E10" i="28"/>
  <c r="U10" i="28"/>
  <c r="AK10" i="28"/>
  <c r="K11" i="28"/>
  <c r="AA11" i="28"/>
  <c r="AQ11" i="28"/>
  <c r="F10" i="28"/>
  <c r="V10" i="28"/>
  <c r="AL10" i="28"/>
  <c r="L11" i="28"/>
  <c r="AB11" i="28"/>
  <c r="AR11" i="28"/>
  <c r="G10" i="28"/>
  <c r="W10" i="28"/>
  <c r="AM10" i="28"/>
  <c r="M11" i="28"/>
  <c r="AC11" i="28"/>
  <c r="AS11" i="28"/>
  <c r="H35" i="28"/>
  <c r="H10" i="28"/>
  <c r="X10" i="28"/>
  <c r="AN10" i="28"/>
  <c r="N11" i="28"/>
  <c r="AD11" i="28"/>
  <c r="J10" i="28"/>
  <c r="Z10" i="28"/>
  <c r="AP10" i="28"/>
  <c r="P11" i="28"/>
  <c r="AF11" i="28"/>
  <c r="K10" i="28"/>
  <c r="AA10" i="28"/>
  <c r="AQ10" i="28"/>
  <c r="Q11" i="28"/>
  <c r="AG11" i="28"/>
  <c r="L10" i="28"/>
  <c r="AB10" i="28"/>
  <c r="AR10" i="28"/>
  <c r="R11" i="28"/>
  <c r="AH11" i="28"/>
  <c r="M10" i="28"/>
  <c r="AC10" i="28"/>
  <c r="AS10" i="28"/>
  <c r="S11" i="28"/>
  <c r="AI11" i="28"/>
  <c r="H18" i="2"/>
  <c r="E58" i="21" s="1"/>
  <c r="M18" i="2"/>
  <c r="J58" i="21" s="1"/>
  <c r="K18" i="2"/>
  <c r="H58" i="21" s="1"/>
  <c r="J18" i="2"/>
  <c r="G58" i="21" s="1"/>
  <c r="I18" i="2"/>
  <c r="F58" i="21" s="1"/>
  <c r="Q18" i="2"/>
  <c r="N58" i="21" s="1"/>
  <c r="R18" i="2"/>
  <c r="O58" i="21" s="1"/>
  <c r="P18" i="2"/>
  <c r="M58" i="21" s="1"/>
  <c r="L18" i="2"/>
  <c r="I58" i="21" s="1"/>
  <c r="N18" i="2"/>
  <c r="K58" i="21" s="1"/>
  <c r="O18" i="2"/>
  <c r="L58" i="21" s="1"/>
  <c r="C54" i="13"/>
  <c r="C53" i="13"/>
  <c r="C52" i="13"/>
  <c r="C51" i="13"/>
  <c r="AS59" i="19" l="1"/>
  <c r="AR59" i="19"/>
  <c r="AQ59" i="19"/>
  <c r="AP59" i="19"/>
  <c r="AO59" i="19"/>
  <c r="AM59" i="19"/>
  <c r="AL59" i="19"/>
  <c r="AK59" i="19"/>
  <c r="AJ59" i="19"/>
  <c r="AI59" i="19"/>
  <c r="AH59" i="19"/>
  <c r="AG59" i="19"/>
  <c r="AF59" i="19"/>
  <c r="AE59" i="19"/>
  <c r="AC59" i="19"/>
  <c r="AB59" i="19"/>
  <c r="AA59" i="19"/>
  <c r="Z59" i="19"/>
  <c r="Y59" i="19"/>
  <c r="X59" i="19"/>
  <c r="W59" i="19"/>
  <c r="V59" i="19"/>
  <c r="U59" i="19"/>
  <c r="S59" i="19"/>
  <c r="R59" i="19"/>
  <c r="Q59" i="19"/>
  <c r="P59" i="19"/>
  <c r="O59" i="19"/>
  <c r="N59" i="19"/>
  <c r="M59" i="19"/>
  <c r="L59" i="19"/>
  <c r="K59" i="19"/>
  <c r="I59" i="19"/>
  <c r="H59" i="19"/>
  <c r="G59" i="19"/>
  <c r="F59" i="19"/>
  <c r="E59" i="19"/>
  <c r="AS58" i="19"/>
  <c r="AR58" i="19"/>
  <c r="AQ58" i="19"/>
  <c r="AP58" i="19"/>
  <c r="AO58" i="19"/>
  <c r="AM58" i="19"/>
  <c r="AL58" i="19"/>
  <c r="AK58" i="19"/>
  <c r="AJ58" i="19"/>
  <c r="AI58" i="19"/>
  <c r="AH58" i="19"/>
  <c r="AG58" i="19"/>
  <c r="AF58" i="19"/>
  <c r="AE58" i="19"/>
  <c r="AC58" i="19"/>
  <c r="AB58" i="19"/>
  <c r="AA58" i="19"/>
  <c r="Z58" i="19"/>
  <c r="Y58" i="19"/>
  <c r="X58" i="19"/>
  <c r="W58" i="19"/>
  <c r="V58" i="19"/>
  <c r="U58" i="19"/>
  <c r="S58" i="19"/>
  <c r="R58" i="19"/>
  <c r="Q58" i="19"/>
  <c r="P58" i="19"/>
  <c r="O58" i="19"/>
  <c r="N58" i="19"/>
  <c r="M58" i="19"/>
  <c r="L58" i="19"/>
  <c r="K58" i="19"/>
  <c r="I58" i="19"/>
  <c r="H58" i="19"/>
  <c r="G58" i="19"/>
  <c r="F58" i="19"/>
  <c r="E58" i="19"/>
  <c r="AS57" i="19"/>
  <c r="AR57" i="19"/>
  <c r="AQ57" i="19"/>
  <c r="AP57" i="19"/>
  <c r="AO57" i="19"/>
  <c r="AM57" i="19"/>
  <c r="AL57" i="19"/>
  <c r="AK57" i="19"/>
  <c r="AJ57" i="19"/>
  <c r="AI57" i="19"/>
  <c r="AH57" i="19"/>
  <c r="AG57" i="19"/>
  <c r="AF57" i="19"/>
  <c r="AE57" i="19"/>
  <c r="AC57" i="19"/>
  <c r="AB57" i="19"/>
  <c r="AA57" i="19"/>
  <c r="Z57" i="19"/>
  <c r="Y57" i="19"/>
  <c r="X57" i="19"/>
  <c r="W57" i="19"/>
  <c r="V57" i="19"/>
  <c r="U57" i="19"/>
  <c r="S57" i="19"/>
  <c r="R57" i="19"/>
  <c r="Q57" i="19"/>
  <c r="P57" i="19"/>
  <c r="O57" i="19"/>
  <c r="N57" i="19"/>
  <c r="M57" i="19"/>
  <c r="L57" i="19"/>
  <c r="K57" i="19"/>
  <c r="I57" i="19"/>
  <c r="H57" i="19"/>
  <c r="G57" i="19"/>
  <c r="F57" i="19"/>
  <c r="E57" i="19"/>
  <c r="AP51" i="19"/>
  <c r="AQ51" i="19"/>
  <c r="AR51" i="19"/>
  <c r="AS51" i="19"/>
  <c r="AP52" i="19"/>
  <c r="AQ52" i="19"/>
  <c r="AR52" i="19"/>
  <c r="AS52" i="19"/>
  <c r="AP53" i="19"/>
  <c r="AQ53" i="19"/>
  <c r="AR53" i="19"/>
  <c r="AS53" i="19"/>
  <c r="AO53" i="19"/>
  <c r="AO52" i="19"/>
  <c r="AO51" i="19"/>
  <c r="AF51" i="19"/>
  <c r="AG51" i="19"/>
  <c r="AH51" i="19"/>
  <c r="AI51" i="19"/>
  <c r="AJ51" i="19"/>
  <c r="AK51" i="19"/>
  <c r="AL51" i="19"/>
  <c r="AM51" i="19"/>
  <c r="AF52" i="19"/>
  <c r="AG52" i="19"/>
  <c r="AH52" i="19"/>
  <c r="AI52" i="19"/>
  <c r="AJ52" i="19"/>
  <c r="AK52" i="19"/>
  <c r="AL52" i="19"/>
  <c r="AM52" i="19"/>
  <c r="AF53" i="19"/>
  <c r="AG53" i="19"/>
  <c r="AH53" i="19"/>
  <c r="AI53" i="19"/>
  <c r="AJ53" i="19"/>
  <c r="AK53" i="19"/>
  <c r="AL53" i="19"/>
  <c r="AM53" i="19"/>
  <c r="AE52" i="19"/>
  <c r="AE53" i="19"/>
  <c r="AE51" i="19"/>
  <c r="U52" i="19"/>
  <c r="V52" i="19"/>
  <c r="W52" i="19"/>
  <c r="X52" i="19"/>
  <c r="Y52" i="19"/>
  <c r="Z52" i="19"/>
  <c r="AA52" i="19"/>
  <c r="AB52" i="19"/>
  <c r="AC52" i="19"/>
  <c r="U53" i="19"/>
  <c r="V53" i="19"/>
  <c r="W53" i="19"/>
  <c r="X53" i="19"/>
  <c r="Y53" i="19"/>
  <c r="Z53" i="19"/>
  <c r="AA53" i="19"/>
  <c r="AB53" i="19"/>
  <c r="AC53" i="19"/>
  <c r="V51" i="19"/>
  <c r="W51" i="19"/>
  <c r="X51" i="19"/>
  <c r="Y51" i="19"/>
  <c r="Z51" i="19"/>
  <c r="AA51" i="19"/>
  <c r="AB51" i="19"/>
  <c r="AC51" i="19"/>
  <c r="U51" i="19"/>
  <c r="S51" i="19"/>
  <c r="S52" i="19"/>
  <c r="S53" i="19"/>
  <c r="L51" i="19"/>
  <c r="M51" i="19"/>
  <c r="N51" i="19"/>
  <c r="O51" i="19"/>
  <c r="P51" i="19"/>
  <c r="Q51" i="19"/>
  <c r="R51" i="19"/>
  <c r="L52" i="19"/>
  <c r="M52" i="19"/>
  <c r="N52" i="19"/>
  <c r="O52" i="19"/>
  <c r="P52" i="19"/>
  <c r="Q52" i="19"/>
  <c r="R52" i="19"/>
  <c r="L53" i="19"/>
  <c r="M53" i="19"/>
  <c r="N53" i="19"/>
  <c r="O53" i="19"/>
  <c r="P53" i="19"/>
  <c r="Q53" i="19"/>
  <c r="R53" i="19"/>
  <c r="K53" i="19"/>
  <c r="K52" i="19"/>
  <c r="K51" i="19"/>
  <c r="F51" i="19"/>
  <c r="G51" i="19"/>
  <c r="H51" i="19"/>
  <c r="I51" i="19"/>
  <c r="F52" i="19"/>
  <c r="G52" i="19"/>
  <c r="H52" i="19"/>
  <c r="I52" i="19"/>
  <c r="F53" i="19"/>
  <c r="G53" i="19"/>
  <c r="H53" i="19"/>
  <c r="I53" i="19"/>
  <c r="E52" i="19"/>
  <c r="E53" i="19"/>
  <c r="E51" i="19"/>
  <c r="A44" i="19"/>
  <c r="A43" i="19"/>
  <c r="A39" i="19"/>
  <c r="A38" i="19"/>
  <c r="A34" i="19"/>
  <c r="A33" i="19"/>
  <c r="B13" i="19"/>
  <c r="B12" i="19"/>
  <c r="AR6" i="13" l="1"/>
  <c r="AR7" i="13"/>
  <c r="AS6" i="19"/>
  <c r="AS7" i="19"/>
  <c r="AS6" i="9"/>
  <c r="AS18" i="9" s="1"/>
  <c r="AS7" i="9"/>
  <c r="AR15" i="5"/>
  <c r="AR16" i="5"/>
  <c r="AR22" i="5"/>
  <c r="AR23" i="5" s="1"/>
  <c r="AT6" i="26"/>
  <c r="AT7" i="26"/>
  <c r="AT41" i="26" s="1"/>
  <c r="AS40" i="10" s="1"/>
  <c r="AT54" i="26"/>
  <c r="AT56" i="26"/>
  <c r="AT68" i="26" s="1"/>
  <c r="AT58" i="26"/>
  <c r="AT59" i="26"/>
  <c r="AT60" i="26"/>
  <c r="AT61" i="26"/>
  <c r="AT62" i="26"/>
  <c r="AT63" i="26"/>
  <c r="AT64" i="26"/>
  <c r="AT67" i="26"/>
  <c r="AT71" i="26" s="1"/>
  <c r="AT75" i="26" s="1"/>
  <c r="AT69" i="26"/>
  <c r="AT70" i="26"/>
  <c r="AT72" i="26"/>
  <c r="AT73" i="26"/>
  <c r="AT74" i="26"/>
  <c r="AT78" i="26"/>
  <c r="AT80" i="26"/>
  <c r="AT82" i="26"/>
  <c r="AT83" i="26"/>
  <c r="AT84" i="26"/>
  <c r="AT85" i="26"/>
  <c r="AT86" i="26"/>
  <c r="AT87" i="26"/>
  <c r="AT88" i="26"/>
  <c r="AT91" i="26"/>
  <c r="AT95" i="26" s="1"/>
  <c r="AT99" i="26" s="1"/>
  <c r="AT92" i="26"/>
  <c r="AT93" i="26"/>
  <c r="AT94" i="26"/>
  <c r="AT96" i="26"/>
  <c r="AT97" i="26"/>
  <c r="AT98" i="26"/>
  <c r="AS6" i="8"/>
  <c r="AS7" i="8"/>
  <c r="AP13" i="21"/>
  <c r="AP56" i="21" l="1"/>
  <c r="AT37" i="26"/>
  <c r="AS36" i="10" s="1"/>
  <c r="AS19" i="9"/>
  <c r="AT33" i="26"/>
  <c r="AS32" i="10" s="1"/>
  <c r="AR33" i="5"/>
  <c r="AR24" i="5"/>
  <c r="AP61" i="21"/>
  <c r="AP62" i="21" s="1"/>
  <c r="AP59" i="21"/>
  <c r="B6" i="8"/>
  <c r="B7" i="8"/>
  <c r="A7" i="2" l="1"/>
  <c r="G98" i="26"/>
  <c r="H98" i="26"/>
  <c r="I98" i="26"/>
  <c r="J98" i="26"/>
  <c r="K98" i="26"/>
  <c r="L98" i="26"/>
  <c r="M98" i="26"/>
  <c r="N98" i="26"/>
  <c r="O98" i="26"/>
  <c r="P98" i="26"/>
  <c r="Q98" i="26"/>
  <c r="R98" i="26"/>
  <c r="S98" i="26"/>
  <c r="T98" i="26"/>
  <c r="U98" i="26"/>
  <c r="V98" i="26"/>
  <c r="W98" i="26"/>
  <c r="X98" i="26"/>
  <c r="Y98" i="26"/>
  <c r="Z98" i="26"/>
  <c r="AA98" i="26"/>
  <c r="AB98" i="26"/>
  <c r="AC98" i="26"/>
  <c r="AD98" i="26"/>
  <c r="AE98" i="26"/>
  <c r="AF98" i="26"/>
  <c r="AG98" i="26"/>
  <c r="AH98" i="26"/>
  <c r="AI98" i="26"/>
  <c r="AJ98" i="26"/>
  <c r="AK98" i="26"/>
  <c r="AL98" i="26"/>
  <c r="AM98" i="26"/>
  <c r="AN98" i="26"/>
  <c r="AO98" i="26"/>
  <c r="AP98" i="26"/>
  <c r="AQ98" i="26"/>
  <c r="AR98" i="26"/>
  <c r="AS98" i="26"/>
  <c r="F98" i="26"/>
  <c r="G97" i="26"/>
  <c r="H97" i="26"/>
  <c r="I97" i="26"/>
  <c r="J97" i="26"/>
  <c r="K97" i="26"/>
  <c r="L97" i="26"/>
  <c r="M97" i="26"/>
  <c r="N97" i="26"/>
  <c r="O97" i="26"/>
  <c r="P97" i="26"/>
  <c r="Q97" i="26"/>
  <c r="R97" i="26"/>
  <c r="S97" i="26"/>
  <c r="T97" i="26"/>
  <c r="U97" i="26"/>
  <c r="V97" i="26"/>
  <c r="W97" i="26"/>
  <c r="X97" i="26"/>
  <c r="Y97" i="26"/>
  <c r="Z97" i="26"/>
  <c r="AA97" i="26"/>
  <c r="AB97" i="26"/>
  <c r="AC97" i="26"/>
  <c r="AD97" i="26"/>
  <c r="AE97" i="26"/>
  <c r="AF97" i="26"/>
  <c r="AG97" i="26"/>
  <c r="AH97" i="26"/>
  <c r="AI97" i="26"/>
  <c r="AJ97" i="26"/>
  <c r="AK97" i="26"/>
  <c r="AL97" i="26"/>
  <c r="AM97" i="26"/>
  <c r="AN97" i="26"/>
  <c r="AO97" i="26"/>
  <c r="AP97" i="26"/>
  <c r="AQ97" i="26"/>
  <c r="AR97" i="26"/>
  <c r="AS97" i="26"/>
  <c r="F97" i="26"/>
  <c r="G96" i="26"/>
  <c r="H96" i="26"/>
  <c r="I96" i="26"/>
  <c r="J96" i="26"/>
  <c r="K96" i="26"/>
  <c r="L96" i="26"/>
  <c r="M96" i="26"/>
  <c r="N96" i="26"/>
  <c r="O96" i="26"/>
  <c r="P96" i="26"/>
  <c r="Q96" i="26"/>
  <c r="R96" i="26"/>
  <c r="S96" i="26"/>
  <c r="T96" i="26"/>
  <c r="U96" i="26"/>
  <c r="V96" i="26"/>
  <c r="W96" i="26"/>
  <c r="X96" i="26"/>
  <c r="Y96" i="26"/>
  <c r="Z96" i="26"/>
  <c r="AA96" i="26"/>
  <c r="AB96" i="26"/>
  <c r="AC96" i="26"/>
  <c r="AD96" i="26"/>
  <c r="AE96" i="26"/>
  <c r="AF96" i="26"/>
  <c r="AG96" i="26"/>
  <c r="AH96" i="26"/>
  <c r="AI96" i="26"/>
  <c r="AJ96" i="26"/>
  <c r="AK96" i="26"/>
  <c r="AL96" i="26"/>
  <c r="AM96" i="26"/>
  <c r="AN96" i="26"/>
  <c r="AO96" i="26"/>
  <c r="AP96" i="26"/>
  <c r="AQ96" i="26"/>
  <c r="AR96" i="26"/>
  <c r="AS96" i="26"/>
  <c r="F96" i="26"/>
  <c r="G94" i="26"/>
  <c r="H94" i="26"/>
  <c r="I94" i="26"/>
  <c r="J94" i="26"/>
  <c r="K94" i="26"/>
  <c r="L94" i="26"/>
  <c r="M94" i="26"/>
  <c r="N94" i="26"/>
  <c r="O94" i="26"/>
  <c r="P94" i="26"/>
  <c r="Q94" i="26"/>
  <c r="R94" i="26"/>
  <c r="S94" i="26"/>
  <c r="T94" i="26"/>
  <c r="U94" i="26"/>
  <c r="V94" i="26"/>
  <c r="W94" i="26"/>
  <c r="X94" i="26"/>
  <c r="Y94" i="26"/>
  <c r="Z94" i="26"/>
  <c r="AA94" i="26"/>
  <c r="AB94" i="26"/>
  <c r="AC94" i="26"/>
  <c r="AD94" i="26"/>
  <c r="AE94" i="26"/>
  <c r="AF94" i="26"/>
  <c r="AG94" i="26"/>
  <c r="AH94" i="26"/>
  <c r="AI94" i="26"/>
  <c r="AJ94" i="26"/>
  <c r="AK94" i="26"/>
  <c r="AL94" i="26"/>
  <c r="AM94" i="26"/>
  <c r="AN94" i="26"/>
  <c r="AO94" i="26"/>
  <c r="AP94" i="26"/>
  <c r="AQ94" i="26"/>
  <c r="AR94" i="26"/>
  <c r="AS94" i="26"/>
  <c r="F94" i="26"/>
  <c r="G93" i="26"/>
  <c r="H93" i="26"/>
  <c r="I93" i="26"/>
  <c r="J93" i="26"/>
  <c r="K93" i="26"/>
  <c r="L93" i="26"/>
  <c r="M93" i="26"/>
  <c r="N93" i="26"/>
  <c r="O93" i="26"/>
  <c r="P93" i="26"/>
  <c r="Q93" i="26"/>
  <c r="R93" i="26"/>
  <c r="S93" i="26"/>
  <c r="T93" i="26"/>
  <c r="U93" i="26"/>
  <c r="V93" i="26"/>
  <c r="W93" i="26"/>
  <c r="X93" i="26"/>
  <c r="Y93" i="26"/>
  <c r="Z93" i="26"/>
  <c r="AA93" i="26"/>
  <c r="AB93" i="26"/>
  <c r="AC93" i="26"/>
  <c r="AD93" i="26"/>
  <c r="AE93" i="26"/>
  <c r="AF93" i="26"/>
  <c r="AG93" i="26"/>
  <c r="AH93" i="26"/>
  <c r="AI93" i="26"/>
  <c r="AJ93" i="26"/>
  <c r="AK93" i="26"/>
  <c r="AL93" i="26"/>
  <c r="AM93" i="26"/>
  <c r="AN93" i="26"/>
  <c r="AO93" i="26"/>
  <c r="AP93" i="26"/>
  <c r="AQ93" i="26"/>
  <c r="AR93" i="26"/>
  <c r="AS93" i="26"/>
  <c r="F93" i="26"/>
  <c r="G91" i="26"/>
  <c r="H91" i="26"/>
  <c r="I91" i="26"/>
  <c r="J91" i="26"/>
  <c r="K91" i="26"/>
  <c r="L91" i="26"/>
  <c r="M91" i="26"/>
  <c r="N91" i="26"/>
  <c r="O91" i="26"/>
  <c r="P91" i="26"/>
  <c r="Q91" i="26"/>
  <c r="R91" i="26"/>
  <c r="S91" i="26"/>
  <c r="T91" i="26"/>
  <c r="U91" i="26"/>
  <c r="V91" i="26"/>
  <c r="W91" i="26"/>
  <c r="X91" i="26"/>
  <c r="Y91" i="26"/>
  <c r="Z91" i="26"/>
  <c r="AA91" i="26"/>
  <c r="AB91" i="26"/>
  <c r="AC91" i="26"/>
  <c r="AD91" i="26"/>
  <c r="AE91" i="26"/>
  <c r="AF91" i="26"/>
  <c r="AG91" i="26"/>
  <c r="AH91" i="26"/>
  <c r="AI91" i="26"/>
  <c r="AJ91" i="26"/>
  <c r="AK91" i="26"/>
  <c r="AL91" i="26"/>
  <c r="AM91" i="26"/>
  <c r="AN91" i="26"/>
  <c r="AO91" i="26"/>
  <c r="AP91" i="26"/>
  <c r="AQ91" i="26"/>
  <c r="AR91" i="26"/>
  <c r="AS91" i="26"/>
  <c r="F91" i="26"/>
  <c r="T87" i="26"/>
  <c r="AJ87" i="26"/>
  <c r="L86" i="26"/>
  <c r="AB86" i="26"/>
  <c r="AR86" i="26"/>
  <c r="T85" i="26"/>
  <c r="AJ85" i="26"/>
  <c r="L84" i="26"/>
  <c r="AB84" i="26"/>
  <c r="AR84" i="26"/>
  <c r="S83" i="26"/>
  <c r="AI83" i="26"/>
  <c r="AE79" i="26"/>
  <c r="J79" i="26"/>
  <c r="G78" i="26"/>
  <c r="W78" i="26"/>
  <c r="AM78" i="26"/>
  <c r="Y92" i="26"/>
  <c r="W92" i="26"/>
  <c r="V92" i="26"/>
  <c r="I92" i="26"/>
  <c r="AS80" i="26"/>
  <c r="AS92" i="26" s="1"/>
  <c r="AR80" i="26"/>
  <c r="AR92" i="26" s="1"/>
  <c r="AQ80" i="26"/>
  <c r="AQ92" i="26" s="1"/>
  <c r="AP80" i="26"/>
  <c r="AP92" i="26" s="1"/>
  <c r="AO80" i="26"/>
  <c r="AO92" i="26" s="1"/>
  <c r="AN80" i="26"/>
  <c r="AN92" i="26" s="1"/>
  <c r="AM80" i="26"/>
  <c r="AM92" i="26" s="1"/>
  <c r="AL80" i="26"/>
  <c r="AL92" i="26" s="1"/>
  <c r="AK80" i="26"/>
  <c r="AK92" i="26" s="1"/>
  <c r="AJ80" i="26"/>
  <c r="AJ92" i="26" s="1"/>
  <c r="AI80" i="26"/>
  <c r="AI92" i="26" s="1"/>
  <c r="AH80" i="26"/>
  <c r="AH92" i="26" s="1"/>
  <c r="AG80" i="26"/>
  <c r="AG92" i="26" s="1"/>
  <c r="AF80" i="26"/>
  <c r="AF92" i="26" s="1"/>
  <c r="AE80" i="26"/>
  <c r="AD80" i="26"/>
  <c r="AD92" i="26" s="1"/>
  <c r="AC80" i="26"/>
  <c r="AC92" i="26" s="1"/>
  <c r="AB80" i="26"/>
  <c r="AB92" i="26" s="1"/>
  <c r="AA80" i="26"/>
  <c r="AA92" i="26" s="1"/>
  <c r="Z80" i="26"/>
  <c r="Z92" i="26" s="1"/>
  <c r="Y80" i="26"/>
  <c r="X80" i="26"/>
  <c r="X92" i="26" s="1"/>
  <c r="W80" i="26"/>
  <c r="V80" i="26"/>
  <c r="U80" i="26"/>
  <c r="U92" i="26" s="1"/>
  <c r="T80" i="26"/>
  <c r="T92" i="26" s="1"/>
  <c r="S80" i="26"/>
  <c r="S92" i="26" s="1"/>
  <c r="R80" i="26"/>
  <c r="R92" i="26" s="1"/>
  <c r="Q80" i="26"/>
  <c r="Q92" i="26" s="1"/>
  <c r="P80" i="26"/>
  <c r="P92" i="26" s="1"/>
  <c r="O80" i="26"/>
  <c r="O92" i="26" s="1"/>
  <c r="N80" i="26"/>
  <c r="N92" i="26" s="1"/>
  <c r="M80" i="26"/>
  <c r="M92" i="26" s="1"/>
  <c r="L80" i="26"/>
  <c r="L92" i="26" s="1"/>
  <c r="K80" i="26"/>
  <c r="K92" i="26" s="1"/>
  <c r="J80" i="26"/>
  <c r="J92" i="26" s="1"/>
  <c r="I80" i="26"/>
  <c r="H80" i="26"/>
  <c r="H92" i="26" s="1"/>
  <c r="G80" i="26"/>
  <c r="G92" i="26" s="1"/>
  <c r="F80" i="26"/>
  <c r="F92" i="26" s="1"/>
  <c r="B77" i="26"/>
  <c r="G74" i="26"/>
  <c r="H74" i="26"/>
  <c r="I74" i="26"/>
  <c r="J74" i="26"/>
  <c r="K74" i="26"/>
  <c r="L74" i="26"/>
  <c r="M74" i="26"/>
  <c r="N74" i="26"/>
  <c r="O74" i="26"/>
  <c r="P74" i="26"/>
  <c r="Q74" i="26"/>
  <c r="R74" i="26"/>
  <c r="S74" i="26"/>
  <c r="T74" i="26"/>
  <c r="U74" i="26"/>
  <c r="V74" i="26"/>
  <c r="W74" i="26"/>
  <c r="X74" i="26"/>
  <c r="Y74" i="26"/>
  <c r="Z74" i="26"/>
  <c r="AA74" i="26"/>
  <c r="AB74" i="26"/>
  <c r="AC74" i="26"/>
  <c r="AD74" i="26"/>
  <c r="AE74" i="26"/>
  <c r="AF74" i="26"/>
  <c r="AG74" i="26"/>
  <c r="AH74" i="26"/>
  <c r="AI74" i="26"/>
  <c r="AJ74" i="26"/>
  <c r="AK74" i="26"/>
  <c r="AL74" i="26"/>
  <c r="AM74" i="26"/>
  <c r="AN74" i="26"/>
  <c r="AO74" i="26"/>
  <c r="AP74" i="26"/>
  <c r="AQ74" i="26"/>
  <c r="AR74" i="26"/>
  <c r="AS74" i="26"/>
  <c r="F74" i="26"/>
  <c r="G73" i="26"/>
  <c r="H73" i="26"/>
  <c r="I73" i="26"/>
  <c r="J73" i="26"/>
  <c r="K73" i="26"/>
  <c r="L73" i="26"/>
  <c r="M73" i="26"/>
  <c r="N73" i="26"/>
  <c r="O73" i="26"/>
  <c r="P73" i="26"/>
  <c r="Q73" i="26"/>
  <c r="R73" i="26"/>
  <c r="S73" i="26"/>
  <c r="T73" i="26"/>
  <c r="U73" i="26"/>
  <c r="V73" i="26"/>
  <c r="W73" i="26"/>
  <c r="X73" i="26"/>
  <c r="Y73" i="26"/>
  <c r="Z73" i="26"/>
  <c r="AA73" i="26"/>
  <c r="AB73" i="26"/>
  <c r="AC73" i="26"/>
  <c r="AD73" i="26"/>
  <c r="AE73" i="26"/>
  <c r="AF73" i="26"/>
  <c r="AG73" i="26"/>
  <c r="AH73" i="26"/>
  <c r="AI73" i="26"/>
  <c r="AJ73" i="26"/>
  <c r="AK73" i="26"/>
  <c r="AL73" i="26"/>
  <c r="AM73" i="26"/>
  <c r="AN73" i="26"/>
  <c r="AO73" i="26"/>
  <c r="AP73" i="26"/>
  <c r="AQ73" i="26"/>
  <c r="AR73" i="26"/>
  <c r="AS73" i="26"/>
  <c r="F73" i="26"/>
  <c r="G72" i="26"/>
  <c r="H72" i="26"/>
  <c r="I72" i="26"/>
  <c r="J72" i="26"/>
  <c r="K72" i="26"/>
  <c r="L72" i="26"/>
  <c r="M72" i="26"/>
  <c r="N72" i="26"/>
  <c r="O72" i="26"/>
  <c r="P72" i="26"/>
  <c r="Q72" i="26"/>
  <c r="R72" i="26"/>
  <c r="S72" i="26"/>
  <c r="T72" i="26"/>
  <c r="U72" i="26"/>
  <c r="V72" i="26"/>
  <c r="W72" i="26"/>
  <c r="X72" i="26"/>
  <c r="Y72" i="26"/>
  <c r="Z72" i="26"/>
  <c r="AA72" i="26"/>
  <c r="AB72" i="26"/>
  <c r="AC72" i="26"/>
  <c r="AD72" i="26"/>
  <c r="AE72" i="26"/>
  <c r="AF72" i="26"/>
  <c r="AG72" i="26"/>
  <c r="AH72" i="26"/>
  <c r="AI72" i="26"/>
  <c r="AJ72" i="26"/>
  <c r="AK72" i="26"/>
  <c r="AL72" i="26"/>
  <c r="AM72" i="26"/>
  <c r="AN72" i="26"/>
  <c r="AO72" i="26"/>
  <c r="AP72" i="26"/>
  <c r="AQ72" i="26"/>
  <c r="AR72" i="26"/>
  <c r="AS72" i="26"/>
  <c r="F72" i="26"/>
  <c r="G70" i="26"/>
  <c r="H70" i="26"/>
  <c r="I70" i="26"/>
  <c r="J70" i="26"/>
  <c r="K70" i="26"/>
  <c r="L70" i="26"/>
  <c r="M70" i="26"/>
  <c r="N70" i="26"/>
  <c r="O70" i="26"/>
  <c r="P70" i="26"/>
  <c r="Q70" i="26"/>
  <c r="R70" i="26"/>
  <c r="S70" i="26"/>
  <c r="T70" i="26"/>
  <c r="U70" i="26"/>
  <c r="V70" i="26"/>
  <c r="W70" i="26"/>
  <c r="X70" i="26"/>
  <c r="Y70" i="26"/>
  <c r="Z70" i="26"/>
  <c r="AA70" i="26"/>
  <c r="AB70" i="26"/>
  <c r="AC70" i="26"/>
  <c r="AD70" i="26"/>
  <c r="AE70" i="26"/>
  <c r="AF70" i="26"/>
  <c r="AG70" i="26"/>
  <c r="AH70" i="26"/>
  <c r="AI70" i="26"/>
  <c r="AJ70" i="26"/>
  <c r="AK70" i="26"/>
  <c r="AL70" i="26"/>
  <c r="AM70" i="26"/>
  <c r="AN70" i="26"/>
  <c r="AO70" i="26"/>
  <c r="AP70" i="26"/>
  <c r="AQ70" i="26"/>
  <c r="AR70" i="26"/>
  <c r="AS70" i="26"/>
  <c r="F70" i="26"/>
  <c r="G69" i="26"/>
  <c r="H69" i="26"/>
  <c r="I69" i="26"/>
  <c r="J69" i="26"/>
  <c r="K69" i="26"/>
  <c r="L69" i="26"/>
  <c r="M69" i="26"/>
  <c r="N69" i="26"/>
  <c r="O69" i="26"/>
  <c r="P69" i="26"/>
  <c r="Q69" i="26"/>
  <c r="R69" i="26"/>
  <c r="S69" i="26"/>
  <c r="T69" i="26"/>
  <c r="U69" i="26"/>
  <c r="V69" i="26"/>
  <c r="W69" i="26"/>
  <c r="X69" i="26"/>
  <c r="Y69" i="26"/>
  <c r="Z69" i="26"/>
  <c r="AA69" i="26"/>
  <c r="AB69" i="26"/>
  <c r="AC69" i="26"/>
  <c r="AD69" i="26"/>
  <c r="AE69" i="26"/>
  <c r="AF69" i="26"/>
  <c r="AG69" i="26"/>
  <c r="AH69" i="26"/>
  <c r="AI69" i="26"/>
  <c r="AJ69" i="26"/>
  <c r="AK69" i="26"/>
  <c r="AL69" i="26"/>
  <c r="AM69" i="26"/>
  <c r="AN69" i="26"/>
  <c r="AO69" i="26"/>
  <c r="AP69" i="26"/>
  <c r="AQ69" i="26"/>
  <c r="AR69" i="26"/>
  <c r="AS69" i="26"/>
  <c r="F69" i="26"/>
  <c r="AP68" i="26"/>
  <c r="G67" i="26"/>
  <c r="H67" i="26"/>
  <c r="I67" i="26"/>
  <c r="J67" i="26"/>
  <c r="K67" i="26"/>
  <c r="L67" i="26"/>
  <c r="M67" i="26"/>
  <c r="N67" i="26"/>
  <c r="O67" i="26"/>
  <c r="P67" i="26"/>
  <c r="Q67" i="26"/>
  <c r="R67" i="26"/>
  <c r="S67" i="26"/>
  <c r="T67" i="26"/>
  <c r="U67" i="26"/>
  <c r="V67" i="26"/>
  <c r="W67" i="26"/>
  <c r="X67" i="26"/>
  <c r="Y67" i="26"/>
  <c r="Z67" i="26"/>
  <c r="AA67" i="26"/>
  <c r="AB67" i="26"/>
  <c r="AC67" i="26"/>
  <c r="AD67" i="26"/>
  <c r="AE67" i="26"/>
  <c r="AF67" i="26"/>
  <c r="AG67" i="26"/>
  <c r="AH67" i="26"/>
  <c r="AI67" i="26"/>
  <c r="AJ67" i="26"/>
  <c r="AK67" i="26"/>
  <c r="AL67" i="26"/>
  <c r="AM67" i="26"/>
  <c r="AN67" i="26"/>
  <c r="AO67" i="26"/>
  <c r="AP67" i="26"/>
  <c r="AQ67" i="26"/>
  <c r="AR67" i="26"/>
  <c r="AS67" i="26"/>
  <c r="F67" i="26"/>
  <c r="KP108" i="26"/>
  <c r="KO108" i="26"/>
  <c r="KN108" i="26"/>
  <c r="KM108" i="26"/>
  <c r="KL108" i="26"/>
  <c r="KK108" i="26"/>
  <c r="KJ108" i="26"/>
  <c r="KI108" i="26"/>
  <c r="KH108" i="26"/>
  <c r="KG108" i="26"/>
  <c r="KF108" i="26"/>
  <c r="KE108" i="26"/>
  <c r="KD108" i="26"/>
  <c r="KC108" i="26"/>
  <c r="KB108" i="26"/>
  <c r="KA108" i="26"/>
  <c r="JZ108" i="26"/>
  <c r="JY108" i="26"/>
  <c r="JX108" i="26"/>
  <c r="JW108" i="26"/>
  <c r="JV108" i="26"/>
  <c r="JU108" i="26"/>
  <c r="JT108" i="26"/>
  <c r="JS108" i="26"/>
  <c r="JR108" i="26"/>
  <c r="JQ108" i="26"/>
  <c r="JP108" i="26"/>
  <c r="JO108" i="26"/>
  <c r="JN108" i="26"/>
  <c r="JM108" i="26"/>
  <c r="JL108" i="26"/>
  <c r="JK108" i="26"/>
  <c r="JJ108" i="26"/>
  <c r="JI108" i="26"/>
  <c r="JH108" i="26"/>
  <c r="JG108" i="26"/>
  <c r="JF108" i="26"/>
  <c r="JE108" i="26"/>
  <c r="JD108" i="26"/>
  <c r="JC108" i="26"/>
  <c r="JB108" i="26"/>
  <c r="JA108" i="26"/>
  <c r="IZ108" i="26"/>
  <c r="IY108" i="26"/>
  <c r="IX108" i="26"/>
  <c r="IW108" i="26"/>
  <c r="IV108" i="26"/>
  <c r="IU108" i="26"/>
  <c r="IT108" i="26"/>
  <c r="IS108" i="26"/>
  <c r="IR108" i="26"/>
  <c r="IQ108" i="26"/>
  <c r="IP108" i="26"/>
  <c r="IO108" i="26"/>
  <c r="IN108" i="26"/>
  <c r="IM108" i="26"/>
  <c r="IL108" i="26"/>
  <c r="IK108" i="26"/>
  <c r="IJ108" i="26"/>
  <c r="II108" i="26"/>
  <c r="IH108" i="26"/>
  <c r="IG108" i="26"/>
  <c r="IF108" i="26"/>
  <c r="IE108" i="26"/>
  <c r="ID108" i="26"/>
  <c r="IC108" i="26"/>
  <c r="IB108" i="26"/>
  <c r="IA108" i="26"/>
  <c r="HZ108" i="26"/>
  <c r="HY108" i="26"/>
  <c r="HX108" i="26"/>
  <c r="HW108" i="26"/>
  <c r="HV108" i="26"/>
  <c r="HU108" i="26"/>
  <c r="HT108" i="26"/>
  <c r="HS108" i="26"/>
  <c r="HR108" i="26"/>
  <c r="HQ108" i="26"/>
  <c r="HP108" i="26"/>
  <c r="HO108" i="26"/>
  <c r="HN108" i="26"/>
  <c r="HM108" i="26"/>
  <c r="HL108" i="26"/>
  <c r="HK108" i="26"/>
  <c r="HJ108" i="26"/>
  <c r="HI108" i="26"/>
  <c r="HH108" i="26"/>
  <c r="HG108" i="26"/>
  <c r="HF108" i="26"/>
  <c r="HE108" i="26"/>
  <c r="HD108" i="26"/>
  <c r="HC108" i="26"/>
  <c r="HB108" i="26"/>
  <c r="HA108" i="26"/>
  <c r="GZ108" i="26"/>
  <c r="GY108" i="26"/>
  <c r="GX108" i="26"/>
  <c r="GW108" i="26"/>
  <c r="GV108" i="26"/>
  <c r="GT108" i="26"/>
  <c r="GS108" i="26"/>
  <c r="GR108" i="26"/>
  <c r="GQ108" i="26"/>
  <c r="GP108" i="26"/>
  <c r="GO108" i="26"/>
  <c r="GN108" i="26"/>
  <c r="GM108" i="26"/>
  <c r="GL108" i="26"/>
  <c r="GK108" i="26"/>
  <c r="GJ108" i="26"/>
  <c r="GI108" i="26"/>
  <c r="GH108" i="26"/>
  <c r="GG108" i="26"/>
  <c r="GF108" i="26"/>
  <c r="GE108" i="26"/>
  <c r="GD108" i="26"/>
  <c r="GC108" i="26"/>
  <c r="GB108" i="26"/>
  <c r="GA108" i="26"/>
  <c r="FZ108" i="26"/>
  <c r="FY108" i="26"/>
  <c r="FX108" i="26"/>
  <c r="FW108" i="26"/>
  <c r="FV108" i="26"/>
  <c r="FU108" i="26"/>
  <c r="FT108" i="26"/>
  <c r="FS108" i="26"/>
  <c r="FR108" i="26"/>
  <c r="FQ108" i="26"/>
  <c r="FP108" i="26"/>
  <c r="FO108" i="26"/>
  <c r="FN108" i="26"/>
  <c r="FM108" i="26"/>
  <c r="FL108" i="26"/>
  <c r="FK108" i="26"/>
  <c r="FJ108" i="26"/>
  <c r="FI108" i="26"/>
  <c r="FH108" i="26"/>
  <c r="FG108" i="26"/>
  <c r="FF108" i="26"/>
  <c r="FE108" i="26"/>
  <c r="FD108" i="26"/>
  <c r="FC108" i="26"/>
  <c r="FB108" i="26"/>
  <c r="FA108" i="26"/>
  <c r="EZ108" i="26"/>
  <c r="EY108" i="26"/>
  <c r="EX108" i="26"/>
  <c r="EW108" i="26"/>
  <c r="EV108" i="26"/>
  <c r="EU108" i="26"/>
  <c r="ET108" i="26"/>
  <c r="ES108" i="26"/>
  <c r="ER108" i="26"/>
  <c r="EQ108" i="26"/>
  <c r="EP108" i="26"/>
  <c r="EO108" i="26"/>
  <c r="EN108" i="26"/>
  <c r="EM108" i="26"/>
  <c r="EL108" i="26"/>
  <c r="EK108" i="26"/>
  <c r="EJ108" i="26"/>
  <c r="EI108" i="26"/>
  <c r="EH108" i="26"/>
  <c r="EG108" i="26"/>
  <c r="EF108" i="26"/>
  <c r="EE108" i="26"/>
  <c r="ED108" i="26"/>
  <c r="EC108" i="26"/>
  <c r="EB108" i="26"/>
  <c r="EA108" i="26"/>
  <c r="DZ108" i="26"/>
  <c r="DY108" i="26"/>
  <c r="DX108" i="26"/>
  <c r="DW108" i="26"/>
  <c r="DV108" i="26"/>
  <c r="DU108" i="26"/>
  <c r="DT108" i="26"/>
  <c r="DS108" i="26"/>
  <c r="DR108" i="26"/>
  <c r="DQ108" i="26"/>
  <c r="DP108" i="26"/>
  <c r="DO108" i="26"/>
  <c r="DN108" i="26"/>
  <c r="DM108" i="26"/>
  <c r="DL108" i="26"/>
  <c r="DK108" i="26"/>
  <c r="DJ108" i="26"/>
  <c r="DI108" i="26"/>
  <c r="DH108" i="26"/>
  <c r="DG108" i="26"/>
  <c r="DF108" i="26"/>
  <c r="DE108" i="26"/>
  <c r="DD108" i="26"/>
  <c r="DC108" i="26"/>
  <c r="DB108" i="26"/>
  <c r="DA108" i="26"/>
  <c r="CZ108" i="26"/>
  <c r="CX108" i="26"/>
  <c r="CW108" i="26"/>
  <c r="CV108" i="26"/>
  <c r="CU108" i="26"/>
  <c r="CT108" i="26"/>
  <c r="CS108" i="26"/>
  <c r="CR108" i="26"/>
  <c r="CQ108" i="26"/>
  <c r="CP108" i="26"/>
  <c r="CN108" i="26"/>
  <c r="CM108" i="26"/>
  <c r="CL108" i="26"/>
  <c r="CK108" i="26"/>
  <c r="CJ108" i="26"/>
  <c r="CI108" i="26"/>
  <c r="CH108" i="26"/>
  <c r="CG108" i="26"/>
  <c r="CF108" i="26"/>
  <c r="CD108" i="26"/>
  <c r="CC108" i="26"/>
  <c r="CB108" i="26"/>
  <c r="CA108" i="26"/>
  <c r="BZ108" i="26"/>
  <c r="BY108" i="26"/>
  <c r="BX108" i="26"/>
  <c r="BW108" i="26"/>
  <c r="BV108" i="26"/>
  <c r="BT108" i="26"/>
  <c r="BS108" i="26"/>
  <c r="BR108" i="26"/>
  <c r="BQ108" i="26"/>
  <c r="BP108" i="26"/>
  <c r="BO108" i="26"/>
  <c r="BN108" i="26"/>
  <c r="BM108" i="26"/>
  <c r="BL108" i="26"/>
  <c r="BJ108" i="26"/>
  <c r="BI108" i="26"/>
  <c r="BH108" i="26"/>
  <c r="BG108" i="26"/>
  <c r="BF108" i="26"/>
  <c r="BE108" i="26"/>
  <c r="BD108" i="26"/>
  <c r="BC108" i="26"/>
  <c r="BB108" i="26"/>
  <c r="AZ108" i="26"/>
  <c r="AY108" i="26"/>
  <c r="AX108" i="26"/>
  <c r="AW108" i="26"/>
  <c r="AV108" i="26"/>
  <c r="AU108" i="26"/>
  <c r="AT108" i="26"/>
  <c r="AS108" i="26"/>
  <c r="AR108" i="26"/>
  <c r="AP108" i="26"/>
  <c r="AO108" i="26"/>
  <c r="AN108" i="26"/>
  <c r="AM108" i="26"/>
  <c r="AL108" i="26"/>
  <c r="AK108" i="26"/>
  <c r="AJ108" i="26"/>
  <c r="AI108" i="26"/>
  <c r="AH108" i="26"/>
  <c r="AF108" i="26"/>
  <c r="AE108" i="26"/>
  <c r="AD108" i="26"/>
  <c r="AC108" i="26"/>
  <c r="AB108" i="26"/>
  <c r="AA108" i="26"/>
  <c r="Z108" i="26"/>
  <c r="Y108" i="26"/>
  <c r="X108" i="26"/>
  <c r="V108" i="26"/>
  <c r="U108" i="26"/>
  <c r="T108" i="26"/>
  <c r="S108" i="26"/>
  <c r="R108" i="26"/>
  <c r="Q108" i="26"/>
  <c r="P108" i="26"/>
  <c r="O108" i="26"/>
  <c r="N108" i="26"/>
  <c r="L108" i="26"/>
  <c r="K108" i="26"/>
  <c r="J108" i="26"/>
  <c r="I108" i="26"/>
  <c r="H108" i="26"/>
  <c r="G108" i="26"/>
  <c r="F108" i="26"/>
  <c r="E108" i="26"/>
  <c r="D108" i="26"/>
  <c r="AP59" i="26"/>
  <c r="G56" i="26"/>
  <c r="G68" i="26" s="1"/>
  <c r="H56" i="26"/>
  <c r="H68" i="26" s="1"/>
  <c r="I56" i="26"/>
  <c r="I68" i="26" s="1"/>
  <c r="J56" i="26"/>
  <c r="J68" i="26" s="1"/>
  <c r="K56" i="26"/>
  <c r="K68" i="26" s="1"/>
  <c r="L56" i="26"/>
  <c r="L68" i="26" s="1"/>
  <c r="M56" i="26"/>
  <c r="M68" i="26" s="1"/>
  <c r="N56" i="26"/>
  <c r="N68" i="26" s="1"/>
  <c r="O56" i="26"/>
  <c r="O68" i="26" s="1"/>
  <c r="P56" i="26"/>
  <c r="P68" i="26" s="1"/>
  <c r="Q56" i="26"/>
  <c r="Q68" i="26" s="1"/>
  <c r="R56" i="26"/>
  <c r="R68" i="26" s="1"/>
  <c r="S56" i="26"/>
  <c r="S68" i="26" s="1"/>
  <c r="T56" i="26"/>
  <c r="T68" i="26" s="1"/>
  <c r="U56" i="26"/>
  <c r="U68" i="26" s="1"/>
  <c r="V56" i="26"/>
  <c r="V68" i="26" s="1"/>
  <c r="W56" i="26"/>
  <c r="W68" i="26" s="1"/>
  <c r="X56" i="26"/>
  <c r="X68" i="26" s="1"/>
  <c r="Y56" i="26"/>
  <c r="Y68" i="26" s="1"/>
  <c r="Z56" i="26"/>
  <c r="Z68" i="26" s="1"/>
  <c r="AA56" i="26"/>
  <c r="AA68" i="26" s="1"/>
  <c r="AB56" i="26"/>
  <c r="AB68" i="26" s="1"/>
  <c r="AC56" i="26"/>
  <c r="AC68" i="26" s="1"/>
  <c r="AD56" i="26"/>
  <c r="AD68" i="26" s="1"/>
  <c r="AE56" i="26"/>
  <c r="AE68" i="26" s="1"/>
  <c r="AF56" i="26"/>
  <c r="AF68" i="26" s="1"/>
  <c r="AG56" i="26"/>
  <c r="AG68" i="26" s="1"/>
  <c r="AH56" i="26"/>
  <c r="AH68" i="26" s="1"/>
  <c r="AI56" i="26"/>
  <c r="AI68" i="26" s="1"/>
  <c r="AJ56" i="26"/>
  <c r="AJ68" i="26" s="1"/>
  <c r="AK56" i="26"/>
  <c r="AK68" i="26" s="1"/>
  <c r="AL56" i="26"/>
  <c r="AL68" i="26" s="1"/>
  <c r="AM56" i="26"/>
  <c r="AM68" i="26" s="1"/>
  <c r="AN56" i="26"/>
  <c r="AN68" i="26" s="1"/>
  <c r="AO56" i="26"/>
  <c r="AO68" i="26" s="1"/>
  <c r="AP56" i="26"/>
  <c r="AQ56" i="26"/>
  <c r="AQ68" i="26" s="1"/>
  <c r="AR56" i="26"/>
  <c r="AR68" i="26" s="1"/>
  <c r="AS56" i="26"/>
  <c r="AS68" i="26" s="1"/>
  <c r="F56" i="26"/>
  <c r="F68" i="26" s="1"/>
  <c r="AE55" i="26"/>
  <c r="J55" i="26"/>
  <c r="W49" i="26"/>
  <c r="T83" i="26" s="1"/>
  <c r="W48" i="26"/>
  <c r="L59" i="26" s="1"/>
  <c r="B53" i="26"/>
  <c r="Q49" i="26"/>
  <c r="E58" i="26" s="1"/>
  <c r="AB49" i="26"/>
  <c r="AA49" i="26"/>
  <c r="AB48" i="26"/>
  <c r="AA48" i="26"/>
  <c r="Q48" i="26"/>
  <c r="U54" i="26" s="1"/>
  <c r="B49" i="26"/>
  <c r="B48" i="26"/>
  <c r="A41" i="26"/>
  <c r="A40" i="26"/>
  <c r="A37" i="26"/>
  <c r="A36" i="26"/>
  <c r="A33" i="26"/>
  <c r="A32" i="26"/>
  <c r="C30" i="26"/>
  <c r="C29" i="26"/>
  <c r="C27" i="26"/>
  <c r="C26" i="26"/>
  <c r="C24" i="26"/>
  <c r="C23" i="26"/>
  <c r="A21" i="26"/>
  <c r="C19" i="26"/>
  <c r="C18" i="26"/>
  <c r="C16" i="26"/>
  <c r="C15" i="26"/>
  <c r="A10" i="26"/>
  <c r="A9" i="26"/>
  <c r="AS7" i="26"/>
  <c r="AS41" i="26" s="1"/>
  <c r="AR40" i="10" s="1"/>
  <c r="AR7" i="26"/>
  <c r="AR41" i="26" s="1"/>
  <c r="AQ40" i="10" s="1"/>
  <c r="AQ7" i="26"/>
  <c r="AQ41" i="26" s="1"/>
  <c r="AP40" i="10" s="1"/>
  <c r="AP7" i="26"/>
  <c r="AP41" i="26" s="1"/>
  <c r="AO40" i="10" s="1"/>
  <c r="AO7" i="26"/>
  <c r="AO41" i="26" s="1"/>
  <c r="AN40" i="10" s="1"/>
  <c r="AN7" i="26"/>
  <c r="AN37" i="26" s="1"/>
  <c r="AM36" i="10" s="1"/>
  <c r="AM7" i="26"/>
  <c r="AM37" i="26" s="1"/>
  <c r="AL36" i="10" s="1"/>
  <c r="AL7" i="26"/>
  <c r="AL37" i="26" s="1"/>
  <c r="AK36" i="10" s="1"/>
  <c r="AK7" i="26"/>
  <c r="AK37" i="26" s="1"/>
  <c r="AJ36" i="10" s="1"/>
  <c r="AJ7" i="26"/>
  <c r="AJ37" i="26" s="1"/>
  <c r="AI36" i="10" s="1"/>
  <c r="AI7" i="26"/>
  <c r="AI33" i="26" s="1"/>
  <c r="AH32" i="10" s="1"/>
  <c r="AH7" i="26"/>
  <c r="AH33" i="26" s="1"/>
  <c r="AG32" i="10" s="1"/>
  <c r="AG7" i="26"/>
  <c r="AG33" i="26" s="1"/>
  <c r="AF32" i="10" s="1"/>
  <c r="AF7" i="26"/>
  <c r="AF33" i="26" s="1"/>
  <c r="AE32" i="10" s="1"/>
  <c r="AE7" i="26"/>
  <c r="AD7" i="26"/>
  <c r="AD41" i="26" s="1"/>
  <c r="AC40" i="10" s="1"/>
  <c r="AC7" i="26"/>
  <c r="AC41" i="26" s="1"/>
  <c r="AB40" i="10" s="1"/>
  <c r="AB7" i="26"/>
  <c r="AB41" i="26" s="1"/>
  <c r="AA40" i="10" s="1"/>
  <c r="AA7" i="26"/>
  <c r="AA41" i="26" s="1"/>
  <c r="Z40" i="10" s="1"/>
  <c r="Z7" i="26"/>
  <c r="Z37" i="26" s="1"/>
  <c r="Y36" i="10" s="1"/>
  <c r="Y7" i="26"/>
  <c r="X7" i="26"/>
  <c r="W7" i="26"/>
  <c r="W37" i="26" s="1"/>
  <c r="V36" i="10" s="1"/>
  <c r="V7" i="26"/>
  <c r="V37" i="26" s="1"/>
  <c r="U36" i="10" s="1"/>
  <c r="U7" i="26"/>
  <c r="U37" i="26" s="1"/>
  <c r="T36" i="10" s="1"/>
  <c r="T7" i="26"/>
  <c r="S7" i="26"/>
  <c r="R7" i="26"/>
  <c r="Q7" i="26"/>
  <c r="P7" i="26"/>
  <c r="O7" i="26"/>
  <c r="N7" i="26"/>
  <c r="M7" i="26"/>
  <c r="L7" i="26"/>
  <c r="K7" i="26"/>
  <c r="J7" i="26"/>
  <c r="I7" i="26"/>
  <c r="H7" i="26"/>
  <c r="G7" i="26"/>
  <c r="F7" i="26"/>
  <c r="B7" i="26"/>
  <c r="AS6" i="26"/>
  <c r="AR6" i="26"/>
  <c r="AQ6" i="26"/>
  <c r="AP6" i="26"/>
  <c r="AO6" i="26"/>
  <c r="AN6" i="26"/>
  <c r="AM6" i="26"/>
  <c r="AL6" i="26"/>
  <c r="AK6" i="26"/>
  <c r="AJ6" i="26"/>
  <c r="AI6" i="26"/>
  <c r="AH6" i="26"/>
  <c r="AG6" i="26"/>
  <c r="AF6" i="26"/>
  <c r="AE6" i="26"/>
  <c r="AD6" i="26"/>
  <c r="AC6" i="26"/>
  <c r="AB6" i="26"/>
  <c r="AA6" i="26"/>
  <c r="Z6" i="26"/>
  <c r="Y6" i="26"/>
  <c r="X6" i="26"/>
  <c r="W6" i="26"/>
  <c r="V6" i="26"/>
  <c r="U6" i="26"/>
  <c r="T6" i="26"/>
  <c r="S6" i="26"/>
  <c r="R6" i="26"/>
  <c r="Q6" i="26"/>
  <c r="P6" i="26"/>
  <c r="O6" i="26"/>
  <c r="N6" i="26"/>
  <c r="M6" i="26"/>
  <c r="L6" i="26"/>
  <c r="K6" i="26"/>
  <c r="J6" i="26"/>
  <c r="I6" i="26"/>
  <c r="H6" i="26"/>
  <c r="G6" i="26"/>
  <c r="F6" i="26"/>
  <c r="B6" i="26"/>
  <c r="A2" i="26"/>
  <c r="AT55" i="26" l="1"/>
  <c r="AT57" i="26" s="1"/>
  <c r="AT65" i="26" s="1"/>
  <c r="AT66" i="26" s="1"/>
  <c r="AT12" i="26" s="1"/>
  <c r="AT79" i="26"/>
  <c r="AT81" i="26" s="1"/>
  <c r="AT89" i="26" s="1"/>
  <c r="AT90" i="26" s="1"/>
  <c r="AG79" i="26"/>
  <c r="AG81" i="26" s="1"/>
  <c r="AL78" i="26"/>
  <c r="V78" i="26"/>
  <c r="AH83" i="26"/>
  <c r="R83" i="26"/>
  <c r="AQ84" i="26"/>
  <c r="AA84" i="26"/>
  <c r="K84" i="26"/>
  <c r="AI85" i="26"/>
  <c r="S85" i="26"/>
  <c r="AQ86" i="26"/>
  <c r="AA86" i="26"/>
  <c r="K86" i="26"/>
  <c r="AI87" i="26"/>
  <c r="S87" i="26"/>
  <c r="AS88" i="26"/>
  <c r="AC88" i="26"/>
  <c r="AK78" i="26"/>
  <c r="U78" i="26"/>
  <c r="AG83" i="26"/>
  <c r="Q83" i="26"/>
  <c r="AP84" i="26"/>
  <c r="Z84" i="26"/>
  <c r="J84" i="26"/>
  <c r="AH85" i="26"/>
  <c r="R85" i="26"/>
  <c r="AP86" i="26"/>
  <c r="Z86" i="26"/>
  <c r="J86" i="26"/>
  <c r="AH87" i="26"/>
  <c r="R87" i="26"/>
  <c r="AR88" i="26"/>
  <c r="L88" i="26"/>
  <c r="AJ78" i="26"/>
  <c r="T78" i="26"/>
  <c r="E81" i="26"/>
  <c r="AF83" i="26"/>
  <c r="P83" i="26"/>
  <c r="AO84" i="26"/>
  <c r="Y84" i="26"/>
  <c r="I84" i="26"/>
  <c r="AG85" i="26"/>
  <c r="Q85" i="26"/>
  <c r="AO86" i="26"/>
  <c r="Y86" i="26"/>
  <c r="I86" i="26"/>
  <c r="AG87" i="26"/>
  <c r="Q87" i="26"/>
  <c r="AQ88" i="26"/>
  <c r="AI78" i="26"/>
  <c r="S78" i="26"/>
  <c r="E82" i="26"/>
  <c r="T82" i="26" s="1"/>
  <c r="AE83" i="26"/>
  <c r="O83" i="26"/>
  <c r="AN84" i="26"/>
  <c r="X84" i="26"/>
  <c r="H84" i="26"/>
  <c r="AF85" i="26"/>
  <c r="P85" i="26"/>
  <c r="AN86" i="26"/>
  <c r="X86" i="26"/>
  <c r="H86" i="26"/>
  <c r="AF87" i="26"/>
  <c r="P87" i="26"/>
  <c r="Z88" i="26"/>
  <c r="J88" i="26"/>
  <c r="AH78" i="26"/>
  <c r="R78" i="26"/>
  <c r="F83" i="26"/>
  <c r="AD83" i="26"/>
  <c r="N83" i="26"/>
  <c r="AM84" i="26"/>
  <c r="W84" i="26"/>
  <c r="G84" i="26"/>
  <c r="AE85" i="26"/>
  <c r="O85" i="26"/>
  <c r="AM86" i="26"/>
  <c r="W86" i="26"/>
  <c r="G86" i="26"/>
  <c r="AE87" i="26"/>
  <c r="O87" i="26"/>
  <c r="AO88" i="26"/>
  <c r="Y88" i="26"/>
  <c r="I88" i="26"/>
  <c r="AF71" i="26"/>
  <c r="AF75" i="26" s="1"/>
  <c r="P71" i="26"/>
  <c r="P75" i="26" s="1"/>
  <c r="AG78" i="26"/>
  <c r="Q78" i="26"/>
  <c r="AS83" i="26"/>
  <c r="AC83" i="26"/>
  <c r="M83" i="26"/>
  <c r="AL84" i="26"/>
  <c r="V84" i="26"/>
  <c r="F85" i="26"/>
  <c r="AD85" i="26"/>
  <c r="N85" i="26"/>
  <c r="AL86" i="26"/>
  <c r="V86" i="26"/>
  <c r="F87" i="26"/>
  <c r="AD87" i="26"/>
  <c r="N87" i="26"/>
  <c r="AN88" i="26"/>
  <c r="X88" i="26"/>
  <c r="H88" i="26"/>
  <c r="AE71" i="26"/>
  <c r="AE75" i="26" s="1"/>
  <c r="O71" i="26"/>
  <c r="O75" i="26" s="1"/>
  <c r="AF78" i="26"/>
  <c r="P78" i="26"/>
  <c r="AR83" i="26"/>
  <c r="AB83" i="26"/>
  <c r="L83" i="26"/>
  <c r="AK84" i="26"/>
  <c r="U84" i="26"/>
  <c r="AS85" i="26"/>
  <c r="AC85" i="26"/>
  <c r="M85" i="26"/>
  <c r="AK86" i="26"/>
  <c r="U86" i="26"/>
  <c r="AS87" i="26"/>
  <c r="AC87" i="26"/>
  <c r="M87" i="26"/>
  <c r="AM88" i="26"/>
  <c r="W88" i="26"/>
  <c r="G88" i="26"/>
  <c r="F71" i="26"/>
  <c r="F75" i="26" s="1"/>
  <c r="AD71" i="26"/>
  <c r="AD75" i="26" s="1"/>
  <c r="N71" i="26"/>
  <c r="N75" i="26" s="1"/>
  <c r="AE78" i="26"/>
  <c r="O78" i="26"/>
  <c r="AQ83" i="26"/>
  <c r="AA83" i="26"/>
  <c r="K83" i="26"/>
  <c r="AJ84" i="26"/>
  <c r="T84" i="26"/>
  <c r="AR85" i="26"/>
  <c r="AB85" i="26"/>
  <c r="L85" i="26"/>
  <c r="AJ86" i="26"/>
  <c r="T86" i="26"/>
  <c r="AR87" i="26"/>
  <c r="AB87" i="26"/>
  <c r="L87" i="26"/>
  <c r="AS71" i="26"/>
  <c r="AS75" i="26" s="1"/>
  <c r="AC71" i="26"/>
  <c r="AC75" i="26" s="1"/>
  <c r="M71" i="26"/>
  <c r="M75" i="26" s="1"/>
  <c r="F78" i="26"/>
  <c r="AD78" i="26"/>
  <c r="N78" i="26"/>
  <c r="AP83" i="26"/>
  <c r="Z83" i="26"/>
  <c r="J83" i="26"/>
  <c r="AI84" i="26"/>
  <c r="S84" i="26"/>
  <c r="AQ85" i="26"/>
  <c r="AA85" i="26"/>
  <c r="K85" i="26"/>
  <c r="AI86" i="26"/>
  <c r="S86" i="26"/>
  <c r="AQ87" i="26"/>
  <c r="AA87" i="26"/>
  <c r="K87" i="26"/>
  <c r="AK88" i="26"/>
  <c r="U88" i="26"/>
  <c r="AR71" i="26"/>
  <c r="AR75" i="26" s="1"/>
  <c r="AB71" i="26"/>
  <c r="AB75" i="26" s="1"/>
  <c r="L71" i="26"/>
  <c r="L75" i="26" s="1"/>
  <c r="AS78" i="26"/>
  <c r="AC78" i="26"/>
  <c r="M78" i="26"/>
  <c r="AO83" i="26"/>
  <c r="Y83" i="26"/>
  <c r="I83" i="26"/>
  <c r="AH84" i="26"/>
  <c r="R84" i="26"/>
  <c r="AP85" i="26"/>
  <c r="Z85" i="26"/>
  <c r="J85" i="26"/>
  <c r="AH86" i="26"/>
  <c r="R86" i="26"/>
  <c r="AP87" i="26"/>
  <c r="Z87" i="26"/>
  <c r="J87" i="26"/>
  <c r="AJ88" i="26"/>
  <c r="T88" i="26"/>
  <c r="AQ71" i="26"/>
  <c r="AQ75" i="26" s="1"/>
  <c r="AA71" i="26"/>
  <c r="AA75" i="26" s="1"/>
  <c r="K71" i="26"/>
  <c r="K75" i="26" s="1"/>
  <c r="AR78" i="26"/>
  <c r="AB78" i="26"/>
  <c r="L78" i="26"/>
  <c r="AN83" i="26"/>
  <c r="X83" i="26"/>
  <c r="H83" i="26"/>
  <c r="AG84" i="26"/>
  <c r="Q84" i="26"/>
  <c r="AO85" i="26"/>
  <c r="Y85" i="26"/>
  <c r="I85" i="26"/>
  <c r="AG86" i="26"/>
  <c r="Q86" i="26"/>
  <c r="AO87" i="26"/>
  <c r="Y87" i="26"/>
  <c r="I87" i="26"/>
  <c r="AI88" i="26"/>
  <c r="AP71" i="26"/>
  <c r="AP75" i="26" s="1"/>
  <c r="Z71" i="26"/>
  <c r="Z75" i="26" s="1"/>
  <c r="J71" i="26"/>
  <c r="J75" i="26" s="1"/>
  <c r="AQ78" i="26"/>
  <c r="AA78" i="26"/>
  <c r="K78" i="26"/>
  <c r="AM83" i="26"/>
  <c r="W83" i="26"/>
  <c r="G83" i="26"/>
  <c r="AF84" i="26"/>
  <c r="P84" i="26"/>
  <c r="AN85" i="26"/>
  <c r="X85" i="26"/>
  <c r="H85" i="26"/>
  <c r="AF86" i="26"/>
  <c r="P86" i="26"/>
  <c r="AN87" i="26"/>
  <c r="X87" i="26"/>
  <c r="H87" i="26"/>
  <c r="AH88" i="26"/>
  <c r="R88" i="26"/>
  <c r="AL79" i="26"/>
  <c r="AL81" i="26" s="1"/>
  <c r="AO71" i="26"/>
  <c r="AO75" i="26" s="1"/>
  <c r="Y71" i="26"/>
  <c r="Y75" i="26" s="1"/>
  <c r="I71" i="26"/>
  <c r="I75" i="26" s="1"/>
  <c r="AP78" i="26"/>
  <c r="Z78" i="26"/>
  <c r="J78" i="26"/>
  <c r="AL83" i="26"/>
  <c r="V83" i="26"/>
  <c r="E84" i="26"/>
  <c r="AE84" i="26"/>
  <c r="O84" i="26"/>
  <c r="AM85" i="26"/>
  <c r="W85" i="26"/>
  <c r="G85" i="26"/>
  <c r="AE86" i="26"/>
  <c r="O86" i="26"/>
  <c r="AM87" i="26"/>
  <c r="W87" i="26"/>
  <c r="G87" i="26"/>
  <c r="AG88" i="26"/>
  <c r="Q88" i="26"/>
  <c r="AN71" i="26"/>
  <c r="AN75" i="26" s="1"/>
  <c r="X71" i="26"/>
  <c r="X75" i="26" s="1"/>
  <c r="H71" i="26"/>
  <c r="H75" i="26" s="1"/>
  <c r="AO78" i="26"/>
  <c r="Y78" i="26"/>
  <c r="I78" i="26"/>
  <c r="AK83" i="26"/>
  <c r="U83" i="26"/>
  <c r="F84" i="26"/>
  <c r="AD84" i="26"/>
  <c r="N84" i="26"/>
  <c r="AL85" i="26"/>
  <c r="V85" i="26"/>
  <c r="F86" i="26"/>
  <c r="AD86" i="26"/>
  <c r="N86" i="26"/>
  <c r="AL87" i="26"/>
  <c r="V87" i="26"/>
  <c r="E88" i="26"/>
  <c r="AA88" i="26" s="1"/>
  <c r="AF88" i="26"/>
  <c r="AM71" i="26"/>
  <c r="AM75" i="26" s="1"/>
  <c r="W71" i="26"/>
  <c r="W75" i="26" s="1"/>
  <c r="G71" i="26"/>
  <c r="G75" i="26" s="1"/>
  <c r="AN78" i="26"/>
  <c r="X78" i="26"/>
  <c r="H78" i="26"/>
  <c r="AJ83" i="26"/>
  <c r="AS84" i="26"/>
  <c r="AC84" i="26"/>
  <c r="M84" i="26"/>
  <c r="AK85" i="26"/>
  <c r="U85" i="26"/>
  <c r="AS86" i="26"/>
  <c r="AC86" i="26"/>
  <c r="M86" i="26"/>
  <c r="AK87" i="26"/>
  <c r="U87" i="26"/>
  <c r="E64" i="26"/>
  <c r="P64" i="26" s="1"/>
  <c r="AE88" i="26"/>
  <c r="O88" i="26"/>
  <c r="AM82" i="26"/>
  <c r="W82" i="26"/>
  <c r="G82" i="26"/>
  <c r="AL82" i="26"/>
  <c r="V82" i="26"/>
  <c r="F82" i="26"/>
  <c r="AK82" i="26"/>
  <c r="U82" i="26"/>
  <c r="AJ82" i="26"/>
  <c r="AI82" i="26"/>
  <c r="R82" i="26"/>
  <c r="AG82" i="26"/>
  <c r="Q82" i="26"/>
  <c r="AF82" i="26"/>
  <c r="P82" i="26"/>
  <c r="AE82" i="26"/>
  <c r="O82" i="26"/>
  <c r="AD82" i="26"/>
  <c r="N82" i="26"/>
  <c r="AS82" i="26"/>
  <c r="AC82" i="26"/>
  <c r="M82" i="26"/>
  <c r="AB82" i="26"/>
  <c r="AA82" i="26"/>
  <c r="K82" i="26"/>
  <c r="AP82" i="26"/>
  <c r="Z82" i="26"/>
  <c r="J82" i="26"/>
  <c r="AO82" i="26"/>
  <c r="Y82" i="26"/>
  <c r="I82" i="26"/>
  <c r="AN82" i="26"/>
  <c r="X82" i="26"/>
  <c r="H82" i="26"/>
  <c r="V71" i="26"/>
  <c r="V75" i="26" s="1"/>
  <c r="AK71" i="26"/>
  <c r="AK75" i="26" s="1"/>
  <c r="AJ71" i="26"/>
  <c r="AJ75" i="26" s="1"/>
  <c r="AI71" i="26"/>
  <c r="AI75" i="26" s="1"/>
  <c r="S71" i="26"/>
  <c r="S75" i="26" s="1"/>
  <c r="AL71" i="26"/>
  <c r="AL75" i="26" s="1"/>
  <c r="U71" i="26"/>
  <c r="U75" i="26" s="1"/>
  <c r="T71" i="26"/>
  <c r="T75" i="26" s="1"/>
  <c r="AH71" i="26"/>
  <c r="AH75" i="26" s="1"/>
  <c r="R71" i="26"/>
  <c r="R75" i="26" s="1"/>
  <c r="AG71" i="26"/>
  <c r="AG75" i="26" s="1"/>
  <c r="Q71" i="26"/>
  <c r="Q75" i="26" s="1"/>
  <c r="R79" i="26"/>
  <c r="R81" i="26" s="1"/>
  <c r="AH79" i="26"/>
  <c r="AH81" i="26" s="1"/>
  <c r="N95" i="26"/>
  <c r="AO59" i="26"/>
  <c r="S79" i="26"/>
  <c r="AI79" i="26"/>
  <c r="AI81" i="26" s="1"/>
  <c r="T79" i="26"/>
  <c r="AJ79" i="26"/>
  <c r="U79" i="26"/>
  <c r="U81" i="26" s="1"/>
  <c r="AK79" i="26"/>
  <c r="AK81" i="26" s="1"/>
  <c r="Q95" i="26"/>
  <c r="F79" i="26"/>
  <c r="F81" i="26" s="1"/>
  <c r="V79" i="26"/>
  <c r="V81" i="26" s="1"/>
  <c r="G79" i="26"/>
  <c r="G81" i="26" s="1"/>
  <c r="W79" i="26"/>
  <c r="W81" i="26" s="1"/>
  <c r="AM79" i="26"/>
  <c r="AM81" i="26" s="1"/>
  <c r="H79" i="26"/>
  <c r="H81" i="26" s="1"/>
  <c r="X79" i="26"/>
  <c r="X81" i="26" s="1"/>
  <c r="AN79" i="26"/>
  <c r="AN81" i="26" s="1"/>
  <c r="I79" i="26"/>
  <c r="Y79" i="26"/>
  <c r="Y81" i="26" s="1"/>
  <c r="AO79" i="26"/>
  <c r="Z79" i="26"/>
  <c r="AP79" i="26"/>
  <c r="AP81" i="26" s="1"/>
  <c r="AL95" i="26"/>
  <c r="K79" i="26"/>
  <c r="K81" i="26" s="1"/>
  <c r="AA79" i="26"/>
  <c r="AA81" i="26" s="1"/>
  <c r="AQ79" i="26"/>
  <c r="AQ81" i="26" s="1"/>
  <c r="J81" i="26"/>
  <c r="G95" i="26"/>
  <c r="W95" i="26"/>
  <c r="AM95" i="26"/>
  <c r="AE92" i="26"/>
  <c r="L79" i="26"/>
  <c r="L81" i="26" s="1"/>
  <c r="AB79" i="26"/>
  <c r="AR79" i="26"/>
  <c r="AR81" i="26" s="1"/>
  <c r="M79" i="26"/>
  <c r="AC79" i="26"/>
  <c r="AC81" i="26" s="1"/>
  <c r="AS79" i="26"/>
  <c r="AS81" i="26" s="1"/>
  <c r="AO95" i="26"/>
  <c r="AO99" i="26" s="1"/>
  <c r="N79" i="26"/>
  <c r="N81" i="26" s="1"/>
  <c r="AD79" i="26"/>
  <c r="AD81" i="26" s="1"/>
  <c r="J95" i="26"/>
  <c r="J99" i="26" s="1"/>
  <c r="Z95" i="26"/>
  <c r="Z99" i="26" s="1"/>
  <c r="AP95" i="26"/>
  <c r="O79" i="26"/>
  <c r="O81" i="26" s="1"/>
  <c r="K95" i="26"/>
  <c r="AS59" i="26"/>
  <c r="P79" i="26"/>
  <c r="P81" i="26" s="1"/>
  <c r="AF79" i="26"/>
  <c r="L95" i="26"/>
  <c r="AB95" i="26"/>
  <c r="AR95" i="26"/>
  <c r="AQ59" i="26"/>
  <c r="Q79" i="26"/>
  <c r="Q81" i="26" s="1"/>
  <c r="G62" i="26"/>
  <c r="W62" i="26"/>
  <c r="AM62" i="26"/>
  <c r="H62" i="26"/>
  <c r="X62" i="26"/>
  <c r="AN62" i="26"/>
  <c r="I62" i="26"/>
  <c r="Y62" i="26"/>
  <c r="AO62" i="26"/>
  <c r="J62" i="26"/>
  <c r="Z62" i="26"/>
  <c r="AP62" i="26"/>
  <c r="K62" i="26"/>
  <c r="AA62" i="26"/>
  <c r="AQ62" i="26"/>
  <c r="L62" i="26"/>
  <c r="AB62" i="26"/>
  <c r="AR62" i="26"/>
  <c r="M62" i="26"/>
  <c r="AC62" i="26"/>
  <c r="AS62" i="26"/>
  <c r="AD62" i="26"/>
  <c r="Z59" i="26"/>
  <c r="O62" i="26"/>
  <c r="AE62" i="26"/>
  <c r="X59" i="26"/>
  <c r="P62" i="26"/>
  <c r="AF62" i="26"/>
  <c r="W59" i="26"/>
  <c r="Q62" i="26"/>
  <c r="AG62" i="26"/>
  <c r="N62" i="26"/>
  <c r="V59" i="26"/>
  <c r="R62" i="26"/>
  <c r="AH62" i="26"/>
  <c r="S62" i="26"/>
  <c r="AI62" i="26"/>
  <c r="U59" i="26"/>
  <c r="T59" i="26"/>
  <c r="T62" i="26"/>
  <c r="AJ62" i="26"/>
  <c r="U62" i="26"/>
  <c r="AK62" i="26"/>
  <c r="F62" i="26"/>
  <c r="V62" i="26"/>
  <c r="AL62" i="26"/>
  <c r="T58" i="26"/>
  <c r="AG58" i="26"/>
  <c r="AI58" i="26"/>
  <c r="O58" i="26"/>
  <c r="S58" i="26"/>
  <c r="AE58" i="26"/>
  <c r="T54" i="26"/>
  <c r="AJ60" i="26"/>
  <c r="AA61" i="26"/>
  <c r="Y59" i="26"/>
  <c r="AI60" i="26"/>
  <c r="Z61" i="26"/>
  <c r="AR63" i="26"/>
  <c r="AH60" i="26"/>
  <c r="Y61" i="26"/>
  <c r="AQ63" i="26"/>
  <c r="AG60" i="26"/>
  <c r="X61" i="26"/>
  <c r="AP63" i="26"/>
  <c r="AA55" i="26"/>
  <c r="AF60" i="26"/>
  <c r="L61" i="26"/>
  <c r="AO63" i="26"/>
  <c r="T60" i="26"/>
  <c r="K61" i="26"/>
  <c r="AN63" i="26"/>
  <c r="S60" i="26"/>
  <c r="J61" i="26"/>
  <c r="AB63" i="26"/>
  <c r="AN59" i="26"/>
  <c r="S59" i="26"/>
  <c r="R60" i="26"/>
  <c r="I61" i="26"/>
  <c r="AA63" i="26"/>
  <c r="AM59" i="26"/>
  <c r="R59" i="26"/>
  <c r="Q60" i="26"/>
  <c r="H61" i="26"/>
  <c r="Z63" i="26"/>
  <c r="F54" i="26"/>
  <c r="M59" i="26"/>
  <c r="Y63" i="26"/>
  <c r="X63" i="26"/>
  <c r="AR61" i="26"/>
  <c r="K59" i="26"/>
  <c r="AI54" i="26"/>
  <c r="AJ59" i="26"/>
  <c r="L63" i="26"/>
  <c r="AH54" i="26"/>
  <c r="AI59" i="26"/>
  <c r="I59" i="26"/>
  <c r="AP61" i="26"/>
  <c r="K63" i="26"/>
  <c r="P60" i="26"/>
  <c r="AK59" i="26"/>
  <c r="AQ61" i="26"/>
  <c r="AG54" i="26"/>
  <c r="AH59" i="26"/>
  <c r="H59" i="26"/>
  <c r="AO61" i="26"/>
  <c r="J63" i="26"/>
  <c r="AJ54" i="26"/>
  <c r="J59" i="26"/>
  <c r="AF54" i="26"/>
  <c r="AC59" i="26"/>
  <c r="G59" i="26"/>
  <c r="AN61" i="26"/>
  <c r="I63" i="26"/>
  <c r="AL59" i="26"/>
  <c r="AD54" i="26"/>
  <c r="AA59" i="26"/>
  <c r="AR60" i="26"/>
  <c r="AB61" i="26"/>
  <c r="H63" i="26"/>
  <c r="AO55" i="26"/>
  <c r="AH58" i="26"/>
  <c r="R58" i="26"/>
  <c r="T64" i="26"/>
  <c r="Q58" i="26"/>
  <c r="AF58" i="26"/>
  <c r="P58" i="26"/>
  <c r="F58" i="26"/>
  <c r="AD58" i="26"/>
  <c r="N58" i="26"/>
  <c r="E60" i="26"/>
  <c r="AE60" i="26"/>
  <c r="O60" i="26"/>
  <c r="AM61" i="26"/>
  <c r="W61" i="26"/>
  <c r="G61" i="26"/>
  <c r="AM63" i="26"/>
  <c r="W63" i="26"/>
  <c r="G63" i="26"/>
  <c r="AF64" i="26"/>
  <c r="AE54" i="26"/>
  <c r="AS58" i="26"/>
  <c r="AC58" i="26"/>
  <c r="M58" i="26"/>
  <c r="F60" i="26"/>
  <c r="AD60" i="26"/>
  <c r="N60" i="26"/>
  <c r="AL61" i="26"/>
  <c r="V61" i="26"/>
  <c r="AL63" i="26"/>
  <c r="V63" i="26"/>
  <c r="AC64" i="26"/>
  <c r="O64" i="26"/>
  <c r="AR58" i="26"/>
  <c r="AB58" i="26"/>
  <c r="L58" i="26"/>
  <c r="AS60" i="26"/>
  <c r="AC60" i="26"/>
  <c r="M60" i="26"/>
  <c r="AK61" i="26"/>
  <c r="U61" i="26"/>
  <c r="AK63" i="26"/>
  <c r="U63" i="26"/>
  <c r="AA58" i="26"/>
  <c r="AB60" i="26"/>
  <c r="L60" i="26"/>
  <c r="AJ61" i="26"/>
  <c r="T61" i="26"/>
  <c r="AJ63" i="26"/>
  <c r="T63" i="26"/>
  <c r="AS64" i="26"/>
  <c r="AQ60" i="26"/>
  <c r="AI61" i="26"/>
  <c r="S61" i="26"/>
  <c r="S63" i="26"/>
  <c r="K60" i="26"/>
  <c r="AI63" i="26"/>
  <c r="R54" i="26"/>
  <c r="AO58" i="26"/>
  <c r="Y58" i="26"/>
  <c r="I58" i="26"/>
  <c r="AG59" i="26"/>
  <c r="Q59" i="26"/>
  <c r="AP60" i="26"/>
  <c r="Z60" i="26"/>
  <c r="J60" i="26"/>
  <c r="AH61" i="26"/>
  <c r="R61" i="26"/>
  <c r="AH63" i="26"/>
  <c r="R63" i="26"/>
  <c r="S54" i="26"/>
  <c r="Z58" i="26"/>
  <c r="AA60" i="26"/>
  <c r="Q54" i="26"/>
  <c r="E57" i="26"/>
  <c r="J57" i="26" s="1"/>
  <c r="AE57" i="26"/>
  <c r="AN58" i="26"/>
  <c r="X58" i="26"/>
  <c r="H58" i="26"/>
  <c r="AF59" i="26"/>
  <c r="P59" i="26"/>
  <c r="AO60" i="26"/>
  <c r="Y60" i="26"/>
  <c r="I60" i="26"/>
  <c r="AG61" i="26"/>
  <c r="Q61" i="26"/>
  <c r="AG63" i="26"/>
  <c r="Q63" i="26"/>
  <c r="AQ58" i="26"/>
  <c r="AP58" i="26"/>
  <c r="P54" i="26"/>
  <c r="AM58" i="26"/>
  <c r="W58" i="26"/>
  <c r="G58" i="26"/>
  <c r="AE59" i="26"/>
  <c r="O59" i="26"/>
  <c r="AN60" i="26"/>
  <c r="X60" i="26"/>
  <c r="H60" i="26"/>
  <c r="AF61" i="26"/>
  <c r="P61" i="26"/>
  <c r="AF63" i="26"/>
  <c r="P63" i="26"/>
  <c r="J58" i="26"/>
  <c r="O54" i="26"/>
  <c r="AL58" i="26"/>
  <c r="V58" i="26"/>
  <c r="F59" i="26"/>
  <c r="AD59" i="26"/>
  <c r="N59" i="26"/>
  <c r="AM60" i="26"/>
  <c r="W60" i="26"/>
  <c r="G60" i="26"/>
  <c r="AE61" i="26"/>
  <c r="O61" i="26"/>
  <c r="AE63" i="26"/>
  <c r="O63" i="26"/>
  <c r="K58" i="26"/>
  <c r="N54" i="26"/>
  <c r="AK58" i="26"/>
  <c r="U58" i="26"/>
  <c r="AL60" i="26"/>
  <c r="V60" i="26"/>
  <c r="F61" i="26"/>
  <c r="N61" i="26"/>
  <c r="F63" i="26"/>
  <c r="AD63" i="26"/>
  <c r="N63" i="26"/>
  <c r="AD61" i="26"/>
  <c r="AJ58" i="26"/>
  <c r="AR59" i="26"/>
  <c r="AB59" i="26"/>
  <c r="AK60" i="26"/>
  <c r="U60" i="26"/>
  <c r="AS61" i="26"/>
  <c r="AC61" i="26"/>
  <c r="M61" i="26"/>
  <c r="AS63" i="26"/>
  <c r="AC63" i="26"/>
  <c r="M63" i="26"/>
  <c r="Q55" i="26"/>
  <c r="AN55" i="26"/>
  <c r="AN57" i="26" s="1"/>
  <c r="P55" i="26"/>
  <c r="P57" i="26" s="1"/>
  <c r="AM55" i="26"/>
  <c r="K55" i="26"/>
  <c r="O55" i="26"/>
  <c r="AL55" i="26"/>
  <c r="AD55" i="26"/>
  <c r="N55" i="26"/>
  <c r="AK55" i="26"/>
  <c r="AC55" i="26"/>
  <c r="M55" i="26"/>
  <c r="AJ55" i="26"/>
  <c r="AB55" i="26"/>
  <c r="L55" i="26"/>
  <c r="AI55" i="26"/>
  <c r="I55" i="26"/>
  <c r="AH55" i="26"/>
  <c r="AH57" i="26" s="1"/>
  <c r="AG55" i="26"/>
  <c r="AG57" i="26" s="1"/>
  <c r="L54" i="26"/>
  <c r="AS54" i="26"/>
  <c r="M54" i="26"/>
  <c r="AQ54" i="26"/>
  <c r="AP54" i="26"/>
  <c r="Z54" i="26"/>
  <c r="J54" i="26"/>
  <c r="W55" i="26"/>
  <c r="AF55" i="26"/>
  <c r="H55" i="26"/>
  <c r="AB54" i="26"/>
  <c r="AA54" i="26"/>
  <c r="AO54" i="26"/>
  <c r="Y54" i="26"/>
  <c r="I54" i="26"/>
  <c r="V55" i="26"/>
  <c r="V57" i="26" s="1"/>
  <c r="AS55" i="26"/>
  <c r="AC54" i="26"/>
  <c r="Y55" i="26"/>
  <c r="X55" i="26"/>
  <c r="AN54" i="26"/>
  <c r="X54" i="26"/>
  <c r="H54" i="26"/>
  <c r="U55" i="26"/>
  <c r="AR55" i="26"/>
  <c r="AR54" i="26"/>
  <c r="G55" i="26"/>
  <c r="K54" i="26"/>
  <c r="AM54" i="26"/>
  <c r="W54" i="26"/>
  <c r="G54" i="26"/>
  <c r="T55" i="26"/>
  <c r="T57" i="26" s="1"/>
  <c r="AQ55" i="26"/>
  <c r="Z55" i="26"/>
  <c r="F55" i="26"/>
  <c r="AL54" i="26"/>
  <c r="V54" i="26"/>
  <c r="S55" i="26"/>
  <c r="AP55" i="26"/>
  <c r="AK54" i="26"/>
  <c r="R55" i="26"/>
  <c r="AG41" i="26"/>
  <c r="AF40" i="10" s="1"/>
  <c r="AG37" i="26"/>
  <c r="AF36" i="10" s="1"/>
  <c r="AF41" i="26"/>
  <c r="AE40" i="10" s="1"/>
  <c r="AF37" i="26"/>
  <c r="AE36" i="10" s="1"/>
  <c r="AP33" i="26"/>
  <c r="AO32" i="10" s="1"/>
  <c r="AO33" i="26"/>
  <c r="AN32" i="10" s="1"/>
  <c r="AE33" i="26"/>
  <c r="AD32" i="10" s="1"/>
  <c r="AE37" i="26"/>
  <c r="AD36" i="10" s="1"/>
  <c r="AE41" i="26"/>
  <c r="AD40" i="10" s="1"/>
  <c r="X37" i="26"/>
  <c r="W36" i="10" s="1"/>
  <c r="X33" i="26"/>
  <c r="W32" i="10" s="1"/>
  <c r="Y33" i="26"/>
  <c r="X32" i="10" s="1"/>
  <c r="Y37" i="26"/>
  <c r="X36" i="10" s="1"/>
  <c r="Y41" i="26"/>
  <c r="X40" i="10" s="1"/>
  <c r="Z41" i="26"/>
  <c r="Y40" i="10" s="1"/>
  <c r="Z33" i="26"/>
  <c r="Y32" i="10" s="1"/>
  <c r="AO37" i="26"/>
  <c r="AN36" i="10" s="1"/>
  <c r="AP37" i="26"/>
  <c r="AO36" i="10" s="1"/>
  <c r="AD37" i="26"/>
  <c r="AC36" i="10" s="1"/>
  <c r="AD33" i="26"/>
  <c r="AC32" i="10" s="1"/>
  <c r="AH37" i="26"/>
  <c r="AG36" i="10" s="1"/>
  <c r="AI37" i="26"/>
  <c r="AH36" i="10" s="1"/>
  <c r="AA33" i="26"/>
  <c r="Z32" i="10" s="1"/>
  <c r="AR33" i="26"/>
  <c r="AQ32" i="10" s="1"/>
  <c r="AB33" i="26"/>
  <c r="AA32" i="10" s="1"/>
  <c r="AS33" i="26"/>
  <c r="AR32" i="10" s="1"/>
  <c r="AH41" i="26"/>
  <c r="AG40" i="10" s="1"/>
  <c r="AC33" i="26"/>
  <c r="AB32" i="10" s="1"/>
  <c r="AQ37" i="26"/>
  <c r="AP36" i="10" s="1"/>
  <c r="AI41" i="26"/>
  <c r="AH40" i="10" s="1"/>
  <c r="AR37" i="26"/>
  <c r="AQ36" i="10" s="1"/>
  <c r="AJ41" i="26"/>
  <c r="AI40" i="10" s="1"/>
  <c r="AS37" i="26"/>
  <c r="AR36" i="10" s="1"/>
  <c r="AK41" i="26"/>
  <c r="AJ40" i="10" s="1"/>
  <c r="AL41" i="26"/>
  <c r="AK40" i="10" s="1"/>
  <c r="AM41" i="26"/>
  <c r="AL40" i="10" s="1"/>
  <c r="AQ33" i="26"/>
  <c r="AP32" i="10" s="1"/>
  <c r="AA37" i="26"/>
  <c r="Z36" i="10" s="1"/>
  <c r="AN41" i="26"/>
  <c r="AM40" i="10" s="1"/>
  <c r="AJ33" i="26"/>
  <c r="AI32" i="10" s="1"/>
  <c r="AB37" i="26"/>
  <c r="AA36" i="10" s="1"/>
  <c r="AC37" i="26"/>
  <c r="AB36" i="10" s="1"/>
  <c r="U41" i="26"/>
  <c r="T40" i="10" s="1"/>
  <c r="U33" i="26"/>
  <c r="T32" i="10" s="1"/>
  <c r="AL33" i="26"/>
  <c r="AK32" i="10" s="1"/>
  <c r="V41" i="26"/>
  <c r="U40" i="10" s="1"/>
  <c r="AK33" i="26"/>
  <c r="AJ32" i="10" s="1"/>
  <c r="V33" i="26"/>
  <c r="U32" i="10" s="1"/>
  <c r="AM33" i="26"/>
  <c r="AL32" i="10" s="1"/>
  <c r="W41" i="26"/>
  <c r="V40" i="10" s="1"/>
  <c r="W33" i="26"/>
  <c r="V32" i="10" s="1"/>
  <c r="AN33" i="26"/>
  <c r="AM32" i="10" s="1"/>
  <c r="X41" i="26"/>
  <c r="W40" i="10" s="1"/>
  <c r="AT15" i="26" l="1"/>
  <c r="AT18" i="26" s="1"/>
  <c r="AT13" i="26"/>
  <c r="AT32" i="26" s="1"/>
  <c r="AT16" i="26"/>
  <c r="J89" i="26"/>
  <c r="J90" i="26" s="1"/>
  <c r="J13" i="26" s="1"/>
  <c r="M81" i="26"/>
  <c r="M89" i="26" s="1"/>
  <c r="M90" i="26" s="1"/>
  <c r="Z81" i="26"/>
  <c r="Z89" i="26" s="1"/>
  <c r="Z90" i="26" s="1"/>
  <c r="AJ81" i="26"/>
  <c r="AJ89" i="26" s="1"/>
  <c r="AJ90" i="26" s="1"/>
  <c r="AQ82" i="26"/>
  <c r="AH82" i="26"/>
  <c r="V88" i="26"/>
  <c r="AP88" i="26"/>
  <c r="K88" i="26"/>
  <c r="K89" i="26" s="1"/>
  <c r="K90" i="26" s="1"/>
  <c r="AO81" i="26"/>
  <c r="AO89" i="26" s="1"/>
  <c r="AO90" i="26" s="1"/>
  <c r="T81" i="26"/>
  <c r="T89" i="26" s="1"/>
  <c r="T90" i="26" s="1"/>
  <c r="L82" i="26"/>
  <c r="S82" i="26"/>
  <c r="P88" i="26"/>
  <c r="P89" i="26" s="1"/>
  <c r="P90" i="26" s="1"/>
  <c r="S88" i="26"/>
  <c r="AL88" i="26"/>
  <c r="AF81" i="26"/>
  <c r="AF89" i="26" s="1"/>
  <c r="AF90" i="26" s="1"/>
  <c r="AB81" i="26"/>
  <c r="AB89" i="26" s="1"/>
  <c r="AB90" i="26" s="1"/>
  <c r="I81" i="26"/>
  <c r="I89" i="26" s="1"/>
  <c r="I90" i="26" s="1"/>
  <c r="S81" i="26"/>
  <c r="S89" i="26" s="1"/>
  <c r="S90" i="26" s="1"/>
  <c r="AR82" i="26"/>
  <c r="AR89" i="26" s="1"/>
  <c r="AR90" i="26" s="1"/>
  <c r="AD88" i="26"/>
  <c r="AD89" i="26" s="1"/>
  <c r="AD90" i="26" s="1"/>
  <c r="N88" i="26"/>
  <c r="F88" i="26"/>
  <c r="F89" i="26" s="1"/>
  <c r="F90" i="26" s="1"/>
  <c r="AB88" i="26"/>
  <c r="M88" i="26"/>
  <c r="AP89" i="26"/>
  <c r="AP90" i="26" s="1"/>
  <c r="AM89" i="26"/>
  <c r="AM90" i="26" s="1"/>
  <c r="P95" i="26"/>
  <c r="P99" i="26" s="1"/>
  <c r="AE95" i="26"/>
  <c r="AE99" i="26" s="1"/>
  <c r="W89" i="26"/>
  <c r="W90" i="26" s="1"/>
  <c r="O89" i="26"/>
  <c r="O90" i="26" s="1"/>
  <c r="O95" i="26"/>
  <c r="O99" i="26" s="1"/>
  <c r="G89" i="26"/>
  <c r="G90" i="26" s="1"/>
  <c r="N89" i="26"/>
  <c r="N90" i="26" s="1"/>
  <c r="AC89" i="26"/>
  <c r="AC90" i="26" s="1"/>
  <c r="AD95" i="26"/>
  <c r="AD99" i="26" s="1"/>
  <c r="AL89" i="26"/>
  <c r="AL90" i="26" s="1"/>
  <c r="Y95" i="26"/>
  <c r="Y99" i="26" s="1"/>
  <c r="AQ89" i="26"/>
  <c r="AQ90" i="26" s="1"/>
  <c r="N99" i="26"/>
  <c r="V89" i="26"/>
  <c r="V90" i="26" s="1"/>
  <c r="I95" i="26"/>
  <c r="I99" i="26" s="1"/>
  <c r="AA89" i="26"/>
  <c r="AA90" i="26" s="1"/>
  <c r="AN95" i="26"/>
  <c r="AN99" i="26" s="1"/>
  <c r="X95" i="26"/>
  <c r="X99" i="26" s="1"/>
  <c r="AM99" i="26"/>
  <c r="AS89" i="26"/>
  <c r="AS90" i="26" s="1"/>
  <c r="AK89" i="26"/>
  <c r="AK90" i="26" s="1"/>
  <c r="H95" i="26"/>
  <c r="H99" i="26" s="1"/>
  <c r="W99" i="26"/>
  <c r="AL99" i="26"/>
  <c r="U89" i="26"/>
  <c r="U90" i="26" s="1"/>
  <c r="G99" i="26"/>
  <c r="V95" i="26"/>
  <c r="V99" i="26" s="1"/>
  <c r="AK95" i="26"/>
  <c r="AK99" i="26" s="1"/>
  <c r="AS95" i="26"/>
  <c r="AS99" i="26" s="1"/>
  <c r="AR99" i="26"/>
  <c r="F95" i="26"/>
  <c r="F99" i="26" s="1"/>
  <c r="U95" i="26"/>
  <c r="U99" i="26" s="1"/>
  <c r="AB99" i="26"/>
  <c r="AJ95" i="26"/>
  <c r="AJ99" i="26" s="1"/>
  <c r="AC95" i="26"/>
  <c r="AC99" i="26" s="1"/>
  <c r="M95" i="26"/>
  <c r="M99" i="26" s="1"/>
  <c r="T95" i="26"/>
  <c r="T99" i="26" s="1"/>
  <c r="L99" i="26"/>
  <c r="R89" i="26"/>
  <c r="R90" i="26" s="1"/>
  <c r="AI95" i="26"/>
  <c r="AI99" i="26" s="1"/>
  <c r="AN89" i="26"/>
  <c r="AN90" i="26" s="1"/>
  <c r="AQ95" i="26"/>
  <c r="AQ99" i="26" s="1"/>
  <c r="AG89" i="26"/>
  <c r="AG90" i="26" s="1"/>
  <c r="S95" i="26"/>
  <c r="S99" i="26" s="1"/>
  <c r="AH95" i="26"/>
  <c r="AH99" i="26" s="1"/>
  <c r="AE81" i="26"/>
  <c r="AE89" i="26" s="1"/>
  <c r="AE90" i="26" s="1"/>
  <c r="AH89" i="26"/>
  <c r="AH90" i="26" s="1"/>
  <c r="Y89" i="26"/>
  <c r="Y90" i="26" s="1"/>
  <c r="AI89" i="26"/>
  <c r="AI90" i="26" s="1"/>
  <c r="X89" i="26"/>
  <c r="X90" i="26" s="1"/>
  <c r="AA95" i="26"/>
  <c r="AA99" i="26" s="1"/>
  <c r="Q89" i="26"/>
  <c r="Q90" i="26" s="1"/>
  <c r="L89" i="26"/>
  <c r="L90" i="26" s="1"/>
  <c r="R95" i="26"/>
  <c r="R99" i="26" s="1"/>
  <c r="AG95" i="26"/>
  <c r="AG99" i="26" s="1"/>
  <c r="H89" i="26"/>
  <c r="H90" i="26" s="1"/>
  <c r="K99" i="26"/>
  <c r="AP99" i="26"/>
  <c r="Q99" i="26"/>
  <c r="AF95" i="26"/>
  <c r="AF99" i="26" s="1"/>
  <c r="AE64" i="26"/>
  <c r="AE65" i="26" s="1"/>
  <c r="AE66" i="26" s="1"/>
  <c r="P65" i="26"/>
  <c r="P66" i="26" s="1"/>
  <c r="X64" i="26"/>
  <c r="AN64" i="26"/>
  <c r="AN65" i="26" s="1"/>
  <c r="AN66" i="26" s="1"/>
  <c r="I57" i="26"/>
  <c r="W64" i="26"/>
  <c r="Z64" i="26"/>
  <c r="T65" i="26"/>
  <c r="T66" i="26" s="1"/>
  <c r="V64" i="26"/>
  <c r="V65" i="26" s="1"/>
  <c r="V66" i="26" s="1"/>
  <c r="AP64" i="26"/>
  <c r="I64" i="26"/>
  <c r="Y64" i="26"/>
  <c r="J64" i="26"/>
  <c r="J65" i="26" s="1"/>
  <c r="J66" i="26" s="1"/>
  <c r="Q57" i="26"/>
  <c r="G64" i="26"/>
  <c r="AO64" i="26"/>
  <c r="AM64" i="26"/>
  <c r="AL64" i="26"/>
  <c r="AA64" i="26"/>
  <c r="K64" i="26"/>
  <c r="L64" i="26"/>
  <c r="F57" i="26"/>
  <c r="F65" i="26" s="1"/>
  <c r="F66" i="26" s="1"/>
  <c r="O57" i="26"/>
  <c r="O65" i="26" s="1"/>
  <c r="O66" i="26" s="1"/>
  <c r="Z57" i="26"/>
  <c r="K57" i="26"/>
  <c r="M64" i="26"/>
  <c r="R64" i="26"/>
  <c r="AQ64" i="26"/>
  <c r="Y57" i="26"/>
  <c r="AQ57" i="26"/>
  <c r="AS57" i="26"/>
  <c r="AS65" i="26" s="1"/>
  <c r="AS66" i="26" s="1"/>
  <c r="AM57" i="26"/>
  <c r="H64" i="26"/>
  <c r="AI57" i="26"/>
  <c r="AJ57" i="26"/>
  <c r="AF57" i="26"/>
  <c r="AF65" i="26" s="1"/>
  <c r="AF66" i="26" s="1"/>
  <c r="L57" i="26"/>
  <c r="AB57" i="26"/>
  <c r="AB65" i="26" s="1"/>
  <c r="AB66" i="26" s="1"/>
  <c r="H57" i="26"/>
  <c r="R57" i="26"/>
  <c r="AR57" i="26"/>
  <c r="U57" i="26"/>
  <c r="AC57" i="26"/>
  <c r="AC65" i="26" s="1"/>
  <c r="AC66" i="26" s="1"/>
  <c r="AK57" i="26"/>
  <c r="U64" i="26"/>
  <c r="AK64" i="26"/>
  <c r="Q64" i="26"/>
  <c r="AG64" i="26"/>
  <c r="AG65" i="26" s="1"/>
  <c r="AG66" i="26" s="1"/>
  <c r="AH64" i="26"/>
  <c r="AH65" i="26" s="1"/>
  <c r="AH66" i="26" s="1"/>
  <c r="S64" i="26"/>
  <c r="AI64" i="26"/>
  <c r="AJ64" i="26"/>
  <c r="N57" i="26"/>
  <c r="AB64" i="26"/>
  <c r="AO57" i="26"/>
  <c r="AD57" i="26"/>
  <c r="AR64" i="26"/>
  <c r="AD64" i="26"/>
  <c r="G57" i="26"/>
  <c r="M57" i="26"/>
  <c r="W57" i="26"/>
  <c r="AP57" i="26"/>
  <c r="AP65" i="26" s="1"/>
  <c r="AP66" i="26" s="1"/>
  <c r="S57" i="26"/>
  <c r="N64" i="26"/>
  <c r="X57" i="26"/>
  <c r="AL57" i="26"/>
  <c r="AL65" i="26" s="1"/>
  <c r="AL66" i="26" s="1"/>
  <c r="F64" i="26"/>
  <c r="AA57" i="26"/>
  <c r="AA65" i="26" s="1"/>
  <c r="AA66" i="26" s="1"/>
  <c r="L23" i="5"/>
  <c r="M23" i="5"/>
  <c r="N23" i="5"/>
  <c r="O23" i="5"/>
  <c r="P23" i="5"/>
  <c r="Q23" i="5"/>
  <c r="R23" i="5"/>
  <c r="S23" i="5"/>
  <c r="T23" i="5"/>
  <c r="V23" i="5"/>
  <c r="W23" i="5"/>
  <c r="X23" i="5"/>
  <c r="Y23" i="5"/>
  <c r="Z23" i="5"/>
  <c r="AA23" i="5"/>
  <c r="AB23" i="5"/>
  <c r="AC23" i="5"/>
  <c r="AD23" i="5"/>
  <c r="AF23" i="5"/>
  <c r="AG23" i="5"/>
  <c r="AH23" i="5"/>
  <c r="AI23" i="5"/>
  <c r="AJ23" i="5"/>
  <c r="AK23" i="5"/>
  <c r="AL23" i="5"/>
  <c r="AM23" i="5"/>
  <c r="AN23" i="5"/>
  <c r="AP23" i="5"/>
  <c r="AQ23" i="5"/>
  <c r="D23" i="5"/>
  <c r="E23" i="5"/>
  <c r="F23" i="5"/>
  <c r="G23" i="5"/>
  <c r="H23" i="5"/>
  <c r="I23" i="5"/>
  <c r="J23" i="5"/>
  <c r="K23" i="5"/>
  <c r="G45" i="9"/>
  <c r="G49" i="9"/>
  <c r="H49" i="9" s="1"/>
  <c r="I49" i="9"/>
  <c r="I48" i="9"/>
  <c r="I44" i="9"/>
  <c r="I45" i="9" s="1"/>
  <c r="H45" i="9"/>
  <c r="F42" i="5"/>
  <c r="F43" i="5"/>
  <c r="AR7" i="5" s="1"/>
  <c r="F44" i="5"/>
  <c r="F41" i="5"/>
  <c r="AR29" i="5" s="1"/>
  <c r="V68" i="8"/>
  <c r="U68" i="8"/>
  <c r="T68" i="8"/>
  <c r="S68" i="8"/>
  <c r="G68" i="8"/>
  <c r="H68" i="8"/>
  <c r="L68" i="8"/>
  <c r="G62" i="8"/>
  <c r="F62" i="8"/>
  <c r="E62" i="8"/>
  <c r="I62" i="8" s="1"/>
  <c r="I57" i="8"/>
  <c r="H57" i="8"/>
  <c r="G57" i="8"/>
  <c r="F57" i="8"/>
  <c r="E57" i="8"/>
  <c r="S56" i="8"/>
  <c r="R56" i="8"/>
  <c r="Q56" i="8"/>
  <c r="P56" i="8"/>
  <c r="J56" i="8"/>
  <c r="S55" i="8"/>
  <c r="R55" i="8"/>
  <c r="Q55" i="8"/>
  <c r="P55" i="8"/>
  <c r="J55" i="8"/>
  <c r="AC115" i="13"/>
  <c r="F115" i="13"/>
  <c r="AC97" i="13"/>
  <c r="F97" i="13"/>
  <c r="C97" i="13"/>
  <c r="AC76" i="13"/>
  <c r="F76" i="13"/>
  <c r="AC66" i="13"/>
  <c r="F66" i="13"/>
  <c r="AC31" i="13"/>
  <c r="F31" i="13"/>
  <c r="AC41" i="13"/>
  <c r="F41" i="13"/>
  <c r="C39" i="13"/>
  <c r="C40" i="13"/>
  <c r="C38" i="13"/>
  <c r="C36" i="13"/>
  <c r="C35" i="13"/>
  <c r="C34" i="13"/>
  <c r="AC110" i="13"/>
  <c r="F110" i="13"/>
  <c r="AC92" i="13"/>
  <c r="F92" i="13"/>
  <c r="AC56" i="13"/>
  <c r="F56" i="13"/>
  <c r="F21" i="13"/>
  <c r="AT36" i="26" l="1"/>
  <c r="J16" i="26"/>
  <c r="J49" i="9"/>
  <c r="K49" i="9" s="1"/>
  <c r="AK65" i="26"/>
  <c r="AK66" i="26" s="1"/>
  <c r="AK12" i="26" s="1"/>
  <c r="AR28" i="5"/>
  <c r="AR32" i="5"/>
  <c r="T28" i="5"/>
  <c r="AD32" i="5"/>
  <c r="M7" i="5"/>
  <c r="AI28" i="5"/>
  <c r="M32" i="5"/>
  <c r="J32" i="5"/>
  <c r="F28" i="5"/>
  <c r="I32" i="5"/>
  <c r="H32" i="5"/>
  <c r="G32" i="5"/>
  <c r="F32" i="5"/>
  <c r="Y32" i="5"/>
  <c r="P28" i="5"/>
  <c r="AM32" i="5"/>
  <c r="AD28" i="5"/>
  <c r="E7" i="5"/>
  <c r="E32" i="5"/>
  <c r="N32" i="5"/>
  <c r="E28" i="5"/>
  <c r="AB32" i="5"/>
  <c r="K32" i="5"/>
  <c r="J7" i="5"/>
  <c r="AG28" i="5"/>
  <c r="AF28" i="5"/>
  <c r="G7" i="5"/>
  <c r="AL32" i="5"/>
  <c r="AJ7" i="5"/>
  <c r="D28" i="5"/>
  <c r="AJ32" i="5"/>
  <c r="T32" i="5"/>
  <c r="AD7" i="5"/>
  <c r="AC32" i="5"/>
  <c r="D7" i="5"/>
  <c r="AJ28" i="5"/>
  <c r="K7" i="5"/>
  <c r="Z7" i="5"/>
  <c r="AO7" i="5"/>
  <c r="X7" i="5"/>
  <c r="O28" i="5"/>
  <c r="F7" i="5"/>
  <c r="AK7" i="5"/>
  <c r="U32" i="5"/>
  <c r="S7" i="5"/>
  <c r="AA28" i="5"/>
  <c r="K28" i="5"/>
  <c r="AI32" i="5"/>
  <c r="S32" i="5"/>
  <c r="V28" i="5"/>
  <c r="AK28" i="5"/>
  <c r="AB7" i="5"/>
  <c r="S28" i="5"/>
  <c r="AH28" i="5"/>
  <c r="I7" i="5"/>
  <c r="AN7" i="5"/>
  <c r="W32" i="5"/>
  <c r="V7" i="5"/>
  <c r="U7" i="5"/>
  <c r="M28" i="5"/>
  <c r="AB28" i="5"/>
  <c r="AI7" i="5"/>
  <c r="AH7" i="5"/>
  <c r="R7" i="5"/>
  <c r="AP28" i="5"/>
  <c r="Z28" i="5"/>
  <c r="J28" i="5"/>
  <c r="AH32" i="5"/>
  <c r="R32" i="5"/>
  <c r="AR10" i="5"/>
  <c r="AR11" i="5"/>
  <c r="AR36" i="5" s="1"/>
  <c r="AS8" i="10" s="1"/>
  <c r="D32" i="5"/>
  <c r="AA32" i="5"/>
  <c r="AP7" i="5"/>
  <c r="Z32" i="5"/>
  <c r="Q28" i="5"/>
  <c r="AN32" i="5"/>
  <c r="W7" i="5"/>
  <c r="N28" i="5"/>
  <c r="AK32" i="5"/>
  <c r="T7" i="5"/>
  <c r="AQ28" i="5"/>
  <c r="AG7" i="5"/>
  <c r="Q7" i="5"/>
  <c r="AO28" i="5"/>
  <c r="Y28" i="5"/>
  <c r="I28" i="5"/>
  <c r="AG32" i="5"/>
  <c r="Q32" i="5"/>
  <c r="AL28" i="5"/>
  <c r="U28" i="5"/>
  <c r="L32" i="5"/>
  <c r="AQ7" i="5"/>
  <c r="AQ32" i="5"/>
  <c r="AP32" i="5"/>
  <c r="Y7" i="5"/>
  <c r="H7" i="5"/>
  <c r="AE28" i="5"/>
  <c r="AL7" i="5"/>
  <c r="AF7" i="5"/>
  <c r="P7" i="5"/>
  <c r="AN28" i="5"/>
  <c r="X28" i="5"/>
  <c r="H28" i="5"/>
  <c r="AF32" i="5"/>
  <c r="P32" i="5"/>
  <c r="N7" i="5"/>
  <c r="AC7" i="5"/>
  <c r="L7" i="5"/>
  <c r="AA7" i="5"/>
  <c r="R28" i="5"/>
  <c r="AO32" i="5"/>
  <c r="X32" i="5"/>
  <c r="AM7" i="5"/>
  <c r="V32" i="5"/>
  <c r="AC28" i="5"/>
  <c r="L28" i="5"/>
  <c r="AE7" i="5"/>
  <c r="O7" i="5"/>
  <c r="AM28" i="5"/>
  <c r="W28" i="5"/>
  <c r="G28" i="5"/>
  <c r="AE32" i="5"/>
  <c r="O32" i="5"/>
  <c r="J45" i="9"/>
  <c r="K45" i="9" s="1"/>
  <c r="M45" i="9" s="1"/>
  <c r="J19" i="26"/>
  <c r="AT34" i="26"/>
  <c r="AS31" i="10"/>
  <c r="AS33" i="10" s="1"/>
  <c r="H48" i="9"/>
  <c r="J48" i="9" s="1"/>
  <c r="K48" i="9" s="1"/>
  <c r="M48" i="9" s="1"/>
  <c r="AT19" i="26"/>
  <c r="AT40" i="26" s="1"/>
  <c r="Q57" i="8"/>
  <c r="L65" i="26"/>
  <c r="L66" i="26" s="1"/>
  <c r="L15" i="26" s="1"/>
  <c r="F16" i="26"/>
  <c r="F13" i="26"/>
  <c r="AD16" i="26"/>
  <c r="AD13" i="26"/>
  <c r="I13" i="26"/>
  <c r="I16" i="26"/>
  <c r="K13" i="26"/>
  <c r="K16" i="26"/>
  <c r="S16" i="26"/>
  <c r="S13" i="26"/>
  <c r="P16" i="26"/>
  <c r="P13" i="26"/>
  <c r="T16" i="26"/>
  <c r="T13" i="26"/>
  <c r="M13" i="26"/>
  <c r="M16" i="26"/>
  <c r="AR13" i="26"/>
  <c r="AR16" i="26"/>
  <c r="L13" i="26"/>
  <c r="L16" i="26"/>
  <c r="V16" i="26"/>
  <c r="V13" i="26"/>
  <c r="AM13" i="26"/>
  <c r="AM16" i="26"/>
  <c r="Q16" i="26"/>
  <c r="Q13" i="26"/>
  <c r="R16" i="26"/>
  <c r="R13" i="26"/>
  <c r="AP13" i="26"/>
  <c r="AP16" i="26"/>
  <c r="AQ13" i="26"/>
  <c r="AQ16" i="26"/>
  <c r="Z13" i="26"/>
  <c r="Z16" i="26"/>
  <c r="X13" i="26"/>
  <c r="X16" i="26"/>
  <c r="AO13" i="26"/>
  <c r="AO16" i="26"/>
  <c r="U16" i="26"/>
  <c r="U13" i="26"/>
  <c r="AB13" i="26"/>
  <c r="AB16" i="26"/>
  <c r="AI16" i="26"/>
  <c r="AI13" i="26"/>
  <c r="Y13" i="26"/>
  <c r="Y16" i="26"/>
  <c r="AL16" i="26"/>
  <c r="AL13" i="26"/>
  <c r="AH16" i="26"/>
  <c r="AH13" i="26"/>
  <c r="AC13" i="26"/>
  <c r="AC16" i="26"/>
  <c r="N16" i="26"/>
  <c r="N13" i="26"/>
  <c r="AE16" i="26"/>
  <c r="AE13" i="26"/>
  <c r="N65" i="26"/>
  <c r="N66" i="26" s="1"/>
  <c r="N15" i="26" s="1"/>
  <c r="AF16" i="26"/>
  <c r="AF13" i="26"/>
  <c r="AG16" i="26"/>
  <c r="AG13" i="26"/>
  <c r="S65" i="26"/>
  <c r="S66" i="26" s="1"/>
  <c r="S12" i="26" s="1"/>
  <c r="W65" i="26"/>
  <c r="W66" i="26" s="1"/>
  <c r="W12" i="26" s="1"/>
  <c r="O16" i="26"/>
  <c r="O13" i="26"/>
  <c r="AK16" i="26"/>
  <c r="AK13" i="26"/>
  <c r="G13" i="26"/>
  <c r="G16" i="26"/>
  <c r="AN13" i="26"/>
  <c r="AN16" i="26"/>
  <c r="W13" i="26"/>
  <c r="W16" i="26"/>
  <c r="AJ16" i="26"/>
  <c r="AJ13" i="26"/>
  <c r="K65" i="26"/>
  <c r="K66" i="26" s="1"/>
  <c r="K15" i="26" s="1"/>
  <c r="Z65" i="26"/>
  <c r="Z66" i="26" s="1"/>
  <c r="Z12" i="26" s="1"/>
  <c r="AA13" i="26"/>
  <c r="AA16" i="26"/>
  <c r="AS13" i="26"/>
  <c r="AS16" i="26"/>
  <c r="H13" i="26"/>
  <c r="H16" i="26"/>
  <c r="H65" i="26"/>
  <c r="H66" i="26" s="1"/>
  <c r="H15" i="26" s="1"/>
  <c r="Q65" i="26"/>
  <c r="Q66" i="26" s="1"/>
  <c r="Q12" i="26" s="1"/>
  <c r="G65" i="26"/>
  <c r="G66" i="26" s="1"/>
  <c r="G12" i="26" s="1"/>
  <c r="I65" i="26"/>
  <c r="I66" i="26" s="1"/>
  <c r="I15" i="26" s="1"/>
  <c r="AI65" i="26"/>
  <c r="AI66" i="26" s="1"/>
  <c r="AI15" i="26" s="1"/>
  <c r="AN15" i="26"/>
  <c r="AN12" i="26"/>
  <c r="AP15" i="26"/>
  <c r="AP12" i="26"/>
  <c r="AS15" i="26"/>
  <c r="AS12" i="26"/>
  <c r="U65" i="26"/>
  <c r="U66" i="26" s="1"/>
  <c r="AR65" i="26"/>
  <c r="AR66" i="26" s="1"/>
  <c r="AB15" i="26"/>
  <c r="AB12" i="26"/>
  <c r="AL15" i="26"/>
  <c r="AL12" i="26"/>
  <c r="M65" i="26"/>
  <c r="M66" i="26" s="1"/>
  <c r="AD65" i="26"/>
  <c r="AD66" i="26" s="1"/>
  <c r="AK15" i="26"/>
  <c r="AE15" i="26"/>
  <c r="AE12" i="26"/>
  <c r="AC15" i="26"/>
  <c r="AC12" i="26"/>
  <c r="AO65" i="26"/>
  <c r="AO66" i="26" s="1"/>
  <c r="V15" i="26"/>
  <c r="V12" i="26"/>
  <c r="AJ65" i="26"/>
  <c r="AJ66" i="26" s="1"/>
  <c r="T15" i="26"/>
  <c r="T12" i="26"/>
  <c r="AQ65" i="26"/>
  <c r="AQ66" i="26" s="1"/>
  <c r="P12" i="26"/>
  <c r="P15" i="26"/>
  <c r="O15" i="26"/>
  <c r="O12" i="26"/>
  <c r="R65" i="26"/>
  <c r="R66" i="26" s="1"/>
  <c r="F15" i="26"/>
  <c r="F12" i="26"/>
  <c r="AA15" i="26"/>
  <c r="AA12" i="26"/>
  <c r="AH15" i="26"/>
  <c r="AH12" i="26"/>
  <c r="J15" i="26"/>
  <c r="J12" i="26"/>
  <c r="Y65" i="26"/>
  <c r="Y66" i="26" s="1"/>
  <c r="AF12" i="26"/>
  <c r="AF15" i="26"/>
  <c r="X65" i="26"/>
  <c r="X66" i="26" s="1"/>
  <c r="AG12" i="26"/>
  <c r="AG15" i="26"/>
  <c r="AM65" i="26"/>
  <c r="AM66" i="26" s="1"/>
  <c r="S57" i="8"/>
  <c r="M49" i="9"/>
  <c r="L49" i="9"/>
  <c r="I68" i="8"/>
  <c r="J68" i="8"/>
  <c r="K68" i="8"/>
  <c r="Q68" i="8"/>
  <c r="R68" i="8"/>
  <c r="J57" i="8"/>
  <c r="P57" i="8"/>
  <c r="R57" i="8"/>
  <c r="AC78" i="13"/>
  <c r="F78" i="13"/>
  <c r="AC43" i="13"/>
  <c r="F43" i="13"/>
  <c r="C115" i="13"/>
  <c r="C110" i="13"/>
  <c r="C108" i="13"/>
  <c r="C107" i="13"/>
  <c r="C106" i="13"/>
  <c r="C105" i="13"/>
  <c r="C92" i="13"/>
  <c r="C90" i="13"/>
  <c r="C89" i="13"/>
  <c r="C88" i="13"/>
  <c r="C87" i="13"/>
  <c r="C56" i="13"/>
  <c r="C25" i="13"/>
  <c r="C26" i="13"/>
  <c r="C24" i="13"/>
  <c r="C43" i="13"/>
  <c r="C21" i="13"/>
  <c r="C17" i="13"/>
  <c r="C29" i="13" s="1"/>
  <c r="C18" i="13"/>
  <c r="C19" i="13"/>
  <c r="C30" i="13" s="1"/>
  <c r="C16" i="13"/>
  <c r="C28" i="13" s="1"/>
  <c r="B7" i="13"/>
  <c r="B6" i="13"/>
  <c r="AS35" i="10" l="1"/>
  <c r="AS37" i="10" s="1"/>
  <c r="AT38" i="26"/>
  <c r="AS18" i="26"/>
  <c r="AA18" i="26"/>
  <c r="AE18" i="26"/>
  <c r="AE19" i="26"/>
  <c r="L48" i="9"/>
  <c r="L50" i="9" s="1"/>
  <c r="L45" i="9"/>
  <c r="P18" i="26"/>
  <c r="V19" i="26"/>
  <c r="N19" i="26"/>
  <c r="AC19" i="26"/>
  <c r="L19" i="26"/>
  <c r="AD19" i="26"/>
  <c r="U19" i="26"/>
  <c r="AK19" i="26"/>
  <c r="AF19" i="26"/>
  <c r="AR12" i="5"/>
  <c r="AR35" i="5"/>
  <c r="Q19" i="26"/>
  <c r="S19" i="26"/>
  <c r="L12" i="26"/>
  <c r="L18" i="26" s="1"/>
  <c r="AG18" i="26"/>
  <c r="O19" i="26"/>
  <c r="AH19" i="26"/>
  <c r="Z19" i="26"/>
  <c r="F19" i="26"/>
  <c r="AT42" i="26"/>
  <c r="AS39" i="10"/>
  <c r="AS41" i="10" s="1"/>
  <c r="AA19" i="26"/>
  <c r="H44" i="9"/>
  <c r="J44" i="9" s="1"/>
  <c r="K44" i="9" s="1"/>
  <c r="M19" i="26"/>
  <c r="F18" i="26"/>
  <c r="AP18" i="26"/>
  <c r="T19" i="26"/>
  <c r="AI19" i="26"/>
  <c r="P19" i="26"/>
  <c r="W19" i="26"/>
  <c r="AO19" i="26"/>
  <c r="AR19" i="26"/>
  <c r="AL19" i="26"/>
  <c r="AM19" i="26"/>
  <c r="K19" i="26"/>
  <c r="AN19" i="26"/>
  <c r="AS19" i="26"/>
  <c r="AG19" i="26"/>
  <c r="AQ19" i="26"/>
  <c r="X19" i="26"/>
  <c r="I19" i="26"/>
  <c r="Y19" i="26"/>
  <c r="H19" i="26"/>
  <c r="AB19" i="26"/>
  <c r="G19" i="26"/>
  <c r="AJ19" i="26"/>
  <c r="AP19" i="26"/>
  <c r="O18" i="26"/>
  <c r="R19" i="26"/>
  <c r="H12" i="26"/>
  <c r="H18" i="26" s="1"/>
  <c r="K12" i="26"/>
  <c r="K18" i="26" s="1"/>
  <c r="Z15" i="26"/>
  <c r="Z18" i="26" s="1"/>
  <c r="N12" i="26"/>
  <c r="N18" i="26" s="1"/>
  <c r="Q15" i="26"/>
  <c r="Q36" i="26" s="1"/>
  <c r="Q37" i="26" s="1"/>
  <c r="P36" i="10" s="1"/>
  <c r="W15" i="26"/>
  <c r="W18" i="26" s="1"/>
  <c r="G15" i="26"/>
  <c r="G18" i="26" s="1"/>
  <c r="S15" i="26"/>
  <c r="S18" i="26" s="1"/>
  <c r="I12" i="26"/>
  <c r="I18" i="26" s="1"/>
  <c r="AI12" i="26"/>
  <c r="AI32" i="26" s="1"/>
  <c r="AB18" i="26"/>
  <c r="AC18" i="26"/>
  <c r="AN18" i="26"/>
  <c r="V18" i="26"/>
  <c r="J18" i="26"/>
  <c r="J40" i="26" s="1"/>
  <c r="AG36" i="26"/>
  <c r="Y15" i="26"/>
  <c r="Y12" i="26"/>
  <c r="AH18" i="26"/>
  <c r="AQ15" i="26"/>
  <c r="AQ12" i="26"/>
  <c r="T18" i="26"/>
  <c r="X15" i="26"/>
  <c r="X12" i="26"/>
  <c r="X32" i="26" s="1"/>
  <c r="U15" i="26"/>
  <c r="U36" i="26" s="1"/>
  <c r="U12" i="26"/>
  <c r="U32" i="26" s="1"/>
  <c r="AF18" i="26"/>
  <c r="AK18" i="26"/>
  <c r="AL18" i="26"/>
  <c r="AM15" i="26"/>
  <c r="AM12" i="26"/>
  <c r="AM32" i="26" s="1"/>
  <c r="AR15" i="26"/>
  <c r="AR36" i="26" s="1"/>
  <c r="AR12" i="26"/>
  <c r="AJ15" i="26"/>
  <c r="AJ36" i="26" s="1"/>
  <c r="AJ12" i="26"/>
  <c r="AJ32" i="26" s="1"/>
  <c r="R15" i="26"/>
  <c r="R12" i="26"/>
  <c r="R32" i="26" s="1"/>
  <c r="R33" i="26" s="1"/>
  <c r="Q32" i="10" s="1"/>
  <c r="AD15" i="26"/>
  <c r="AD36" i="26" s="1"/>
  <c r="AD12" i="26"/>
  <c r="AD32" i="26" s="1"/>
  <c r="AO15" i="26"/>
  <c r="AO12" i="26"/>
  <c r="AO32" i="26" s="1"/>
  <c r="M15" i="26"/>
  <c r="M36" i="26" s="1"/>
  <c r="M12" i="26"/>
  <c r="M32" i="26" s="1"/>
  <c r="AC32" i="26"/>
  <c r="O36" i="26"/>
  <c r="O37" i="26" s="1"/>
  <c r="N36" i="10" s="1"/>
  <c r="AB36" i="26"/>
  <c r="F36" i="26"/>
  <c r="AC36" i="26"/>
  <c r="AB32" i="26"/>
  <c r="P36" i="26"/>
  <c r="P37" i="26" s="1"/>
  <c r="O36" i="10" s="1"/>
  <c r="H36" i="26"/>
  <c r="O32" i="26"/>
  <c r="O33" i="26" s="1"/>
  <c r="N32" i="10" s="1"/>
  <c r="AE36" i="26"/>
  <c r="AS32" i="26"/>
  <c r="AK36" i="26"/>
  <c r="AA32" i="26"/>
  <c r="AN32" i="26"/>
  <c r="K36" i="26"/>
  <c r="AA36" i="26"/>
  <c r="AL36" i="26"/>
  <c r="S32" i="26"/>
  <c r="S33" i="26" s="1"/>
  <c r="R32" i="10" s="1"/>
  <c r="G32" i="26"/>
  <c r="AN36" i="26"/>
  <c r="AF32" i="26"/>
  <c r="J32" i="26"/>
  <c r="AP36" i="26"/>
  <c r="V36" i="26"/>
  <c r="N36" i="26"/>
  <c r="L36" i="26"/>
  <c r="W32" i="26"/>
  <c r="AE40" i="26"/>
  <c r="I36" i="26"/>
  <c r="J36" i="26"/>
  <c r="AF36" i="26"/>
  <c r="AH32" i="26"/>
  <c r="AI36" i="26"/>
  <c r="P32" i="26"/>
  <c r="P33" i="26" s="1"/>
  <c r="O32" i="10" s="1"/>
  <c r="AG32" i="26"/>
  <c r="AH36" i="26"/>
  <c r="AL32" i="26"/>
  <c r="T36" i="26"/>
  <c r="T37" i="26" s="1"/>
  <c r="S36" i="10" s="1"/>
  <c r="AS36" i="26"/>
  <c r="F32" i="26"/>
  <c r="Z32" i="26"/>
  <c r="AK32" i="26"/>
  <c r="T32" i="26"/>
  <c r="T33" i="26" s="1"/>
  <c r="S32" i="10" s="1"/>
  <c r="AP32" i="26"/>
  <c r="Q32" i="26"/>
  <c r="Q33" i="26" s="1"/>
  <c r="P32" i="10" s="1"/>
  <c r="V32" i="26"/>
  <c r="AE32" i="26"/>
  <c r="M50" i="9"/>
  <c r="A69" i="10"/>
  <c r="A68" i="10"/>
  <c r="A64" i="10"/>
  <c r="A63" i="10"/>
  <c r="A28" i="19"/>
  <c r="A27" i="19"/>
  <c r="A23" i="19"/>
  <c r="A22" i="19"/>
  <c r="D98" i="10"/>
  <c r="D124" i="10"/>
  <c r="D120" i="10"/>
  <c r="D112" i="10"/>
  <c r="D106" i="10"/>
  <c r="D100" i="10"/>
  <c r="D92" i="10"/>
  <c r="D88" i="10"/>
  <c r="D75" i="10"/>
  <c r="B31" i="1"/>
  <c r="A1" i="13"/>
  <c r="B6" i="19"/>
  <c r="A18" i="19"/>
  <c r="A17" i="19"/>
  <c r="A59" i="10"/>
  <c r="A58" i="10"/>
  <c r="B7" i="19"/>
  <c r="B7" i="9"/>
  <c r="B6" i="9"/>
  <c r="A5" i="9"/>
  <c r="B16" i="5"/>
  <c r="B15" i="5"/>
  <c r="B11" i="5"/>
  <c r="B10" i="5"/>
  <c r="A5" i="5"/>
  <c r="A11" i="2"/>
  <c r="A5" i="26" s="1"/>
  <c r="C147" i="10"/>
  <c r="A10" i="2"/>
  <c r="A1" i="21"/>
  <c r="I172" i="13"/>
  <c r="F172" i="13"/>
  <c r="S171" i="13"/>
  <c r="L169" i="13" s="1"/>
  <c r="S161" i="13"/>
  <c r="F159" i="13" s="1"/>
  <c r="I162" i="13"/>
  <c r="F162" i="13"/>
  <c r="N40" i="26" l="1"/>
  <c r="AS40" i="26"/>
  <c r="AA40" i="26"/>
  <c r="AF40" i="26"/>
  <c r="L40" i="26"/>
  <c r="AC40" i="26"/>
  <c r="P40" i="26"/>
  <c r="P41" i="26" s="1"/>
  <c r="O40" i="10" s="1"/>
  <c r="V40" i="26"/>
  <c r="U39" i="10" s="1"/>
  <c r="O40" i="26"/>
  <c r="O41" i="26" s="1"/>
  <c r="N40" i="10" s="1"/>
  <c r="AR18" i="26"/>
  <c r="AR40" i="26" s="1"/>
  <c r="AK40" i="26"/>
  <c r="AK42" i="26" s="1"/>
  <c r="L32" i="26"/>
  <c r="L33" i="26" s="1"/>
  <c r="AQ18" i="26"/>
  <c r="AQ40" i="26" s="1"/>
  <c r="AQ42" i="26" s="1"/>
  <c r="AH40" i="26"/>
  <c r="AH42" i="26" s="1"/>
  <c r="Z40" i="26"/>
  <c r="Z42" i="26" s="1"/>
  <c r="Y18" i="26"/>
  <c r="Y40" i="26" s="1"/>
  <c r="Y42" i="26" s="1"/>
  <c r="F40" i="26"/>
  <c r="F41" i="26" s="1"/>
  <c r="W40" i="26"/>
  <c r="W42" i="26" s="1"/>
  <c r="S40" i="26"/>
  <c r="AG40" i="26"/>
  <c r="AG42" i="26" s="1"/>
  <c r="AR37" i="5"/>
  <c r="AS7" i="10"/>
  <c r="AS9" i="10" s="1"/>
  <c r="AP16" i="21" s="1"/>
  <c r="AP40" i="26"/>
  <c r="AP42" i="26" s="1"/>
  <c r="J41" i="26"/>
  <c r="J42" i="26" s="1"/>
  <c r="I39" i="10"/>
  <c r="AE38" i="26"/>
  <c r="AD35" i="10"/>
  <c r="T40" i="26"/>
  <c r="T41" i="26" s="1"/>
  <c r="AE34" i="26"/>
  <c r="AD31" i="10"/>
  <c r="J33" i="26"/>
  <c r="J34" i="26" s="1"/>
  <c r="I31" i="10"/>
  <c r="M44" i="9"/>
  <c r="M46" i="9" s="1"/>
  <c r="L44" i="9"/>
  <c r="L46" i="9" s="1"/>
  <c r="G40" i="26"/>
  <c r="G41" i="26" s="1"/>
  <c r="J37" i="26"/>
  <c r="I36" i="10" s="1"/>
  <c r="I35" i="10"/>
  <c r="AE42" i="26"/>
  <c r="AD39" i="10"/>
  <c r="AM18" i="26"/>
  <c r="AM40" i="26" s="1"/>
  <c r="AM42" i="26" s="1"/>
  <c r="H32" i="26"/>
  <c r="G31" i="10" s="1"/>
  <c r="K40" i="26"/>
  <c r="G36" i="26"/>
  <c r="G37" i="26" s="1"/>
  <c r="Z36" i="26"/>
  <c r="Y35" i="10" s="1"/>
  <c r="AL40" i="26"/>
  <c r="AK39" i="10" s="1"/>
  <c r="K32" i="26"/>
  <c r="K33" i="26" s="1"/>
  <c r="AB40" i="26"/>
  <c r="AA39" i="10" s="1"/>
  <c r="AN40" i="26"/>
  <c r="AN42" i="26" s="1"/>
  <c r="I40" i="26"/>
  <c r="I41" i="26" s="1"/>
  <c r="H40" i="26"/>
  <c r="G39" i="10" s="1"/>
  <c r="AD38" i="26"/>
  <c r="AC35" i="10"/>
  <c r="H37" i="26"/>
  <c r="G35" i="10"/>
  <c r="G33" i="26"/>
  <c r="F31" i="10"/>
  <c r="N41" i="26"/>
  <c r="M39" i="10"/>
  <c r="AA38" i="26"/>
  <c r="Z35" i="10"/>
  <c r="AM34" i="26"/>
  <c r="AL31" i="10"/>
  <c r="AA34" i="26"/>
  <c r="Z31" i="10"/>
  <c r="AG38" i="26"/>
  <c r="AF35" i="10"/>
  <c r="AP38" i="26"/>
  <c r="AO35" i="10"/>
  <c r="AK38" i="26"/>
  <c r="AJ35" i="10"/>
  <c r="M33" i="26"/>
  <c r="L31" i="10"/>
  <c r="W34" i="26"/>
  <c r="V31" i="10"/>
  <c r="Q38" i="26"/>
  <c r="P35" i="10"/>
  <c r="AS38" i="26"/>
  <c r="AR35" i="10"/>
  <c r="T38" i="26"/>
  <c r="S35" i="10"/>
  <c r="AL34" i="26"/>
  <c r="AK31" i="10"/>
  <c r="AG34" i="26"/>
  <c r="AF31" i="10"/>
  <c r="I32" i="26"/>
  <c r="AS34" i="26"/>
  <c r="AR31" i="10"/>
  <c r="M37" i="26"/>
  <c r="L35" i="10"/>
  <c r="U34" i="26"/>
  <c r="T31" i="10"/>
  <c r="R34" i="26"/>
  <c r="Q31" i="10"/>
  <c r="Z34" i="26"/>
  <c r="Y31" i="10"/>
  <c r="F33" i="26"/>
  <c r="E31" i="10"/>
  <c r="I37" i="26"/>
  <c r="H35" i="10"/>
  <c r="S34" i="26"/>
  <c r="R31" i="10"/>
  <c r="AJ34" i="26"/>
  <c r="AI31" i="10"/>
  <c r="AC42" i="26"/>
  <c r="AB39" i="10"/>
  <c r="AB38" i="26"/>
  <c r="AA35" i="10"/>
  <c r="O38" i="26"/>
  <c r="N35" i="10"/>
  <c r="N32" i="26"/>
  <c r="AO34" i="26"/>
  <c r="AN31" i="10"/>
  <c r="L41" i="26"/>
  <c r="K39" i="10"/>
  <c r="P38" i="26"/>
  <c r="O35" i="10"/>
  <c r="AB34" i="26"/>
  <c r="AA31" i="10"/>
  <c r="AJ38" i="26"/>
  <c r="AI35" i="10"/>
  <c r="O39" i="10"/>
  <c r="AL38" i="26"/>
  <c r="AK35" i="10"/>
  <c r="AN34" i="26"/>
  <c r="AM31" i="10"/>
  <c r="V34" i="26"/>
  <c r="U31" i="10"/>
  <c r="Q34" i="26"/>
  <c r="P31" i="10"/>
  <c r="AP34" i="26"/>
  <c r="AO31" i="10"/>
  <c r="P34" i="26"/>
  <c r="O31" i="10"/>
  <c r="T34" i="26"/>
  <c r="S31" i="10"/>
  <c r="AI38" i="26"/>
  <c r="AH35" i="10"/>
  <c r="AF34" i="26"/>
  <c r="AE31" i="10"/>
  <c r="AF38" i="26"/>
  <c r="AE35" i="10"/>
  <c r="AI34" i="26"/>
  <c r="AH31" i="10"/>
  <c r="AA42" i="26"/>
  <c r="Z39" i="10"/>
  <c r="AC38" i="26"/>
  <c r="AB35" i="10"/>
  <c r="F37" i="26"/>
  <c r="E35" i="10"/>
  <c r="U38" i="26"/>
  <c r="T35" i="10"/>
  <c r="AR38" i="26"/>
  <c r="AQ35" i="10"/>
  <c r="K37" i="26"/>
  <c r="J35" i="10"/>
  <c r="L37" i="26"/>
  <c r="K35" i="10"/>
  <c r="N37" i="26"/>
  <c r="M35" i="10"/>
  <c r="V38" i="26"/>
  <c r="U35" i="10"/>
  <c r="AC34" i="26"/>
  <c r="AB31" i="10"/>
  <c r="AH38" i="26"/>
  <c r="AG35" i="10"/>
  <c r="AK34" i="26"/>
  <c r="AJ31" i="10"/>
  <c r="AH34" i="26"/>
  <c r="AG31" i="10"/>
  <c r="AN38" i="26"/>
  <c r="AM35" i="10"/>
  <c r="O34" i="26"/>
  <c r="N31" i="10"/>
  <c r="AD34" i="26"/>
  <c r="AC31" i="10"/>
  <c r="X34" i="26"/>
  <c r="W31" i="10"/>
  <c r="AI18" i="26"/>
  <c r="AI40" i="26" s="1"/>
  <c r="Q18" i="26"/>
  <c r="Q40" i="26" s="1"/>
  <c r="Q41" i="26" s="1"/>
  <c r="P40" i="10" s="1"/>
  <c r="AR32" i="26"/>
  <c r="W36" i="26"/>
  <c r="S36" i="26"/>
  <c r="S37" i="26" s="1"/>
  <c r="R36" i="10" s="1"/>
  <c r="Y36" i="26"/>
  <c r="R36" i="26"/>
  <c r="R37" i="26" s="1"/>
  <c r="Q36" i="10" s="1"/>
  <c r="Y32" i="26"/>
  <c r="X36" i="26"/>
  <c r="AM36" i="26"/>
  <c r="M18" i="26"/>
  <c r="M40" i="26" s="1"/>
  <c r="AO18" i="26"/>
  <c r="AO40" i="26" s="1"/>
  <c r="AQ32" i="26"/>
  <c r="AD18" i="26"/>
  <c r="AD40" i="26" s="1"/>
  <c r="U18" i="26"/>
  <c r="U40" i="26" s="1"/>
  <c r="AO36" i="26"/>
  <c r="AJ18" i="26"/>
  <c r="AJ40" i="26" s="1"/>
  <c r="R18" i="26"/>
  <c r="R40" i="26" s="1"/>
  <c r="R41" i="26" s="1"/>
  <c r="Q40" i="10" s="1"/>
  <c r="X18" i="26"/>
  <c r="X40" i="26" s="1"/>
  <c r="AQ36" i="26"/>
  <c r="F160" i="13"/>
  <c r="I160" i="13"/>
  <c r="D133" i="13" s="1"/>
  <c r="Q159" i="13"/>
  <c r="P159" i="13"/>
  <c r="N159" i="13"/>
  <c r="R159" i="13"/>
  <c r="M159" i="13"/>
  <c r="J159" i="13"/>
  <c r="I159" i="13"/>
  <c r="F170" i="13"/>
  <c r="H169" i="13"/>
  <c r="I170" i="13"/>
  <c r="D134" i="13" s="1"/>
  <c r="P169" i="13"/>
  <c r="F169" i="13"/>
  <c r="J169" i="13"/>
  <c r="N169" i="13"/>
  <c r="R169" i="13"/>
  <c r="I169" i="13"/>
  <c r="M169" i="13"/>
  <c r="Q169" i="13"/>
  <c r="G169" i="13"/>
  <c r="K169" i="13"/>
  <c r="O169" i="13"/>
  <c r="L159" i="13"/>
  <c r="H159" i="13"/>
  <c r="O159" i="13"/>
  <c r="K159" i="13"/>
  <c r="G159" i="13"/>
  <c r="AS42" i="26" l="1"/>
  <c r="AR39" i="10"/>
  <c r="AF42" i="26"/>
  <c r="AE39" i="10"/>
  <c r="K41" i="26"/>
  <c r="J39" i="10"/>
  <c r="AQ39" i="10"/>
  <c r="AR42" i="26"/>
  <c r="T42" i="26"/>
  <c r="S40" i="10"/>
  <c r="P42" i="26"/>
  <c r="O42" i="26"/>
  <c r="AJ39" i="10"/>
  <c r="V42" i="26"/>
  <c r="N39" i="10"/>
  <c r="AP17" i="21"/>
  <c r="Y39" i="10"/>
  <c r="R39" i="10"/>
  <c r="S41" i="26"/>
  <c r="R40" i="10" s="1"/>
  <c r="AG39" i="10"/>
  <c r="AF39" i="10"/>
  <c r="V39" i="10"/>
  <c r="E39" i="10"/>
  <c r="K31" i="10"/>
  <c r="AO39" i="10"/>
  <c r="H33" i="26"/>
  <c r="H34" i="26" s="1"/>
  <c r="I40" i="10"/>
  <c r="F35" i="10"/>
  <c r="AL39" i="10"/>
  <c r="H39" i="10"/>
  <c r="X39" i="10"/>
  <c r="S39" i="10"/>
  <c r="J38" i="26"/>
  <c r="F39" i="10"/>
  <c r="I32" i="10"/>
  <c r="Z38" i="26"/>
  <c r="AP39" i="10"/>
  <c r="J31" i="10"/>
  <c r="H41" i="26"/>
  <c r="G40" i="10" s="1"/>
  <c r="AB42" i="26"/>
  <c r="AL42" i="26"/>
  <c r="AM39" i="10"/>
  <c r="AO42" i="26"/>
  <c r="AN39" i="10"/>
  <c r="F42" i="26"/>
  <c r="E40" i="10"/>
  <c r="AM38" i="26"/>
  <c r="AL35" i="10"/>
  <c r="M34" i="26"/>
  <c r="L32" i="10"/>
  <c r="F38" i="26"/>
  <c r="E36" i="10"/>
  <c r="M41" i="26"/>
  <c r="L39" i="10"/>
  <c r="G34" i="26"/>
  <c r="F32" i="10"/>
  <c r="Y34" i="26"/>
  <c r="X31" i="10"/>
  <c r="G38" i="26"/>
  <c r="F36" i="10"/>
  <c r="N38" i="26"/>
  <c r="M36" i="10"/>
  <c r="N42" i="26"/>
  <c r="M40" i="10"/>
  <c r="S38" i="26"/>
  <c r="R35" i="10"/>
  <c r="W38" i="26"/>
  <c r="V35" i="10"/>
  <c r="L38" i="26"/>
  <c r="K36" i="10"/>
  <c r="X42" i="26"/>
  <c r="W39" i="10"/>
  <c r="Q42" i="26"/>
  <c r="P39" i="10"/>
  <c r="AJ42" i="26"/>
  <c r="AI39" i="10"/>
  <c r="F34" i="26"/>
  <c r="E32" i="10"/>
  <c r="AO38" i="26"/>
  <c r="AN35" i="10"/>
  <c r="I42" i="26"/>
  <c r="H40" i="10"/>
  <c r="AQ34" i="26"/>
  <c r="AP31" i="10"/>
  <c r="L42" i="26"/>
  <c r="K40" i="10"/>
  <c r="X38" i="26"/>
  <c r="W35" i="10"/>
  <c r="G42" i="26"/>
  <c r="F40" i="10"/>
  <c r="R38" i="26"/>
  <c r="Q35" i="10"/>
  <c r="Y38" i="26"/>
  <c r="X35" i="10"/>
  <c r="H38" i="26"/>
  <c r="G36" i="10"/>
  <c r="N33" i="26"/>
  <c r="M31" i="10"/>
  <c r="AQ38" i="26"/>
  <c r="AP35" i="10"/>
  <c r="AR34" i="26"/>
  <c r="AQ31" i="10"/>
  <c r="I38" i="26"/>
  <c r="H36" i="10"/>
  <c r="R42" i="26"/>
  <c r="Q39" i="10"/>
  <c r="K38" i="26"/>
  <c r="J36" i="10"/>
  <c r="L34" i="26"/>
  <c r="K32" i="10"/>
  <c r="AI42" i="26"/>
  <c r="AH39" i="10"/>
  <c r="M38" i="26"/>
  <c r="L36" i="10"/>
  <c r="U42" i="26"/>
  <c r="T39" i="10"/>
  <c r="AD42" i="26"/>
  <c r="AC39" i="10"/>
  <c r="K42" i="26"/>
  <c r="J40" i="10"/>
  <c r="K34" i="26"/>
  <c r="J32" i="10"/>
  <c r="I33" i="26"/>
  <c r="H31" i="10"/>
  <c r="N49" i="9"/>
  <c r="N48" i="9"/>
  <c r="N45" i="9"/>
  <c r="N44" i="9"/>
  <c r="D157" i="10"/>
  <c r="D158" i="10"/>
  <c r="I148" i="13"/>
  <c r="F148" i="13"/>
  <c r="S145" i="13"/>
  <c r="Q145" i="13" s="1"/>
  <c r="I144" i="13"/>
  <c r="F144" i="13"/>
  <c r="S141" i="13"/>
  <c r="G141" i="13" s="1"/>
  <c r="AH6" i="19"/>
  <c r="AI6" i="19"/>
  <c r="AJ6" i="19"/>
  <c r="AK6" i="19"/>
  <c r="AL6" i="19"/>
  <c r="AM6" i="19"/>
  <c r="AN6" i="19"/>
  <c r="AO6" i="19"/>
  <c r="AP6" i="19"/>
  <c r="AQ6" i="19"/>
  <c r="AR6" i="19"/>
  <c r="AH7" i="19"/>
  <c r="AI7" i="19"/>
  <c r="AJ7" i="19"/>
  <c r="AK7" i="19"/>
  <c r="AL7" i="19"/>
  <c r="AM7" i="19"/>
  <c r="AN7" i="19"/>
  <c r="AO7" i="19"/>
  <c r="AP7" i="19"/>
  <c r="AQ7" i="19"/>
  <c r="AR7" i="19"/>
  <c r="AR7" i="9"/>
  <c r="AQ7" i="9"/>
  <c r="AP7" i="9"/>
  <c r="AO7" i="9"/>
  <c r="AN7" i="9"/>
  <c r="AM7" i="9"/>
  <c r="AL7" i="9"/>
  <c r="AK7" i="9"/>
  <c r="AJ7" i="9"/>
  <c r="AI7" i="9"/>
  <c r="AH7" i="9"/>
  <c r="AR6" i="9"/>
  <c r="AQ6" i="9"/>
  <c r="AP6" i="9"/>
  <c r="AO6" i="9"/>
  <c r="AN6" i="9"/>
  <c r="AM6" i="9"/>
  <c r="AL6" i="9"/>
  <c r="AK6" i="9"/>
  <c r="AJ6" i="9"/>
  <c r="AI6" i="9"/>
  <c r="AH6" i="9"/>
  <c r="AE13" i="21"/>
  <c r="AF13" i="21"/>
  <c r="AG13" i="21"/>
  <c r="AH13" i="21"/>
  <c r="AI13" i="21"/>
  <c r="AJ13" i="21"/>
  <c r="AK13" i="21"/>
  <c r="AL13" i="21"/>
  <c r="AM13" i="21"/>
  <c r="AN13" i="21"/>
  <c r="AO13" i="21"/>
  <c r="AG11" i="5"/>
  <c r="AH11" i="5"/>
  <c r="AI10" i="5"/>
  <c r="AJ10" i="5"/>
  <c r="AK10" i="5"/>
  <c r="AL11" i="5"/>
  <c r="AM10" i="5"/>
  <c r="AN10" i="5"/>
  <c r="AO11" i="5"/>
  <c r="AP11" i="5"/>
  <c r="AQ10" i="5"/>
  <c r="AP10" i="5"/>
  <c r="AN11" i="5"/>
  <c r="AG15" i="5"/>
  <c r="AH15" i="5"/>
  <c r="AI15" i="5"/>
  <c r="AJ15" i="5"/>
  <c r="AK15" i="5"/>
  <c r="AL15" i="5"/>
  <c r="AM15" i="5"/>
  <c r="AN15" i="5"/>
  <c r="AO15" i="5"/>
  <c r="AP15" i="5"/>
  <c r="AQ15" i="5"/>
  <c r="AG16" i="5"/>
  <c r="AH16" i="5"/>
  <c r="AI16" i="5"/>
  <c r="AJ16" i="5"/>
  <c r="AK16" i="5"/>
  <c r="AL16" i="5"/>
  <c r="AM16" i="5"/>
  <c r="AN16" i="5"/>
  <c r="AO16" i="5"/>
  <c r="AP16" i="5"/>
  <c r="AQ16" i="5"/>
  <c r="AG22" i="5"/>
  <c r="AH22" i="5"/>
  <c r="AI22" i="5"/>
  <c r="AJ22" i="5"/>
  <c r="AK22" i="5"/>
  <c r="AL22" i="5"/>
  <c r="AM22" i="5"/>
  <c r="AN22" i="5"/>
  <c r="AO22" i="5"/>
  <c r="AP22" i="5"/>
  <c r="AP24" i="5" s="1"/>
  <c r="AQ22" i="5"/>
  <c r="AQ24" i="5" s="1"/>
  <c r="AH6" i="8"/>
  <c r="AI6" i="8"/>
  <c r="AJ6" i="8"/>
  <c r="AK6" i="8"/>
  <c r="AL6" i="8"/>
  <c r="AM6" i="8"/>
  <c r="AN6" i="8"/>
  <c r="AO6" i="8"/>
  <c r="AP6" i="8"/>
  <c r="AQ6" i="8"/>
  <c r="AR6" i="8"/>
  <c r="AH7" i="8"/>
  <c r="AI7" i="8"/>
  <c r="AJ7" i="8"/>
  <c r="AK7" i="8"/>
  <c r="AL7" i="8"/>
  <c r="AM7" i="8"/>
  <c r="AN7" i="8"/>
  <c r="AO7" i="8"/>
  <c r="AP7" i="8"/>
  <c r="AQ7" i="8"/>
  <c r="AR7" i="8"/>
  <c r="AP12" i="5" l="1"/>
  <c r="S42" i="26"/>
  <c r="G32" i="10"/>
  <c r="D39" i="10"/>
  <c r="D31" i="10"/>
  <c r="D35" i="10"/>
  <c r="D36" i="10"/>
  <c r="H42" i="26"/>
  <c r="I34" i="26"/>
  <c r="H32" i="10"/>
  <c r="M42" i="26"/>
  <c r="L40" i="10"/>
  <c r="D40" i="10" s="1"/>
  <c r="N34" i="26"/>
  <c r="M32" i="10"/>
  <c r="AI19" i="9"/>
  <c r="AO33" i="5"/>
  <c r="AO29" i="5"/>
  <c r="AH18" i="9"/>
  <c r="AI18" i="9"/>
  <c r="AO19" i="9"/>
  <c r="AN29" i="5"/>
  <c r="AN33" i="5"/>
  <c r="AM29" i="5"/>
  <c r="AM33" i="5"/>
  <c r="AJ19" i="9"/>
  <c r="AQ33" i="5"/>
  <c r="AQ29" i="5"/>
  <c r="AP29" i="5"/>
  <c r="AP33" i="5"/>
  <c r="AJ18" i="9"/>
  <c r="AR19" i="9"/>
  <c r="AQ19" i="9"/>
  <c r="AJ33" i="5"/>
  <c r="AJ29" i="5"/>
  <c r="AI33" i="5"/>
  <c r="AI29" i="5"/>
  <c r="AP18" i="9"/>
  <c r="AM19" i="9"/>
  <c r="AP19" i="9"/>
  <c r="AL33" i="5"/>
  <c r="AL29" i="5"/>
  <c r="AM18" i="9"/>
  <c r="AO18" i="9"/>
  <c r="AK19" i="9"/>
  <c r="AL19" i="9"/>
  <c r="AK18" i="9"/>
  <c r="AL18" i="9"/>
  <c r="AN18" i="9"/>
  <c r="AR18" i="9"/>
  <c r="AN19" i="9"/>
  <c r="AK33" i="5"/>
  <c r="AK29" i="5"/>
  <c r="AH33" i="5"/>
  <c r="AH29" i="5"/>
  <c r="AQ18" i="9"/>
  <c r="AG33" i="5"/>
  <c r="AG29" i="5"/>
  <c r="AH19" i="9"/>
  <c r="AL10" i="5"/>
  <c r="AL12" i="5" s="1"/>
  <c r="AH10" i="5"/>
  <c r="AH12" i="5" s="1"/>
  <c r="AI24" i="5"/>
  <c r="F152" i="13"/>
  <c r="F145" i="13"/>
  <c r="G145" i="13"/>
  <c r="H145" i="13"/>
  <c r="J145" i="13"/>
  <c r="K145" i="13"/>
  <c r="R145" i="13"/>
  <c r="L145" i="13"/>
  <c r="N145" i="13"/>
  <c r="O145" i="13"/>
  <c r="P145" i="13"/>
  <c r="F146" i="13"/>
  <c r="I146" i="13"/>
  <c r="AN27" i="21"/>
  <c r="AL27" i="21"/>
  <c r="AJ27" i="21"/>
  <c r="AI27" i="21"/>
  <c r="AH27" i="21"/>
  <c r="AO56" i="21"/>
  <c r="AG56" i="21"/>
  <c r="AG27" i="21"/>
  <c r="AF56" i="21"/>
  <c r="AF27" i="21"/>
  <c r="AK56" i="21"/>
  <c r="AK27" i="21"/>
  <c r="AE56" i="21"/>
  <c r="AE27" i="21"/>
  <c r="AM56" i="21"/>
  <c r="AM27" i="21"/>
  <c r="AJ56" i="21"/>
  <c r="AI56" i="21"/>
  <c r="AN56" i="21"/>
  <c r="F142" i="13"/>
  <c r="I142" i="13"/>
  <c r="S149" i="13"/>
  <c r="R149" i="13" s="1"/>
  <c r="I145" i="13"/>
  <c r="M145" i="13"/>
  <c r="I152" i="13"/>
  <c r="R141" i="13"/>
  <c r="N141" i="13"/>
  <c r="J141" i="13"/>
  <c r="M141" i="13"/>
  <c r="P141" i="13"/>
  <c r="L141" i="13"/>
  <c r="H141" i="13"/>
  <c r="Q141" i="13"/>
  <c r="I141" i="13"/>
  <c r="F141" i="13"/>
  <c r="O141" i="13"/>
  <c r="K141" i="13"/>
  <c r="AL56" i="21"/>
  <c r="AH56" i="21"/>
  <c r="AG10" i="5"/>
  <c r="AG35" i="5" s="1"/>
  <c r="AP35" i="5"/>
  <c r="AL24" i="5"/>
  <c r="AM24" i="5"/>
  <c r="AN12" i="5"/>
  <c r="AK11" i="5"/>
  <c r="AK12" i="5" s="1"/>
  <c r="AH24" i="5"/>
  <c r="AJ11" i="5"/>
  <c r="AJ12" i="5" s="1"/>
  <c r="AO10" i="5"/>
  <c r="AO12" i="5" s="1"/>
  <c r="AN24" i="5"/>
  <c r="AJ24" i="5"/>
  <c r="AO24" i="5"/>
  <c r="AK24" i="5"/>
  <c r="AQ35" i="5"/>
  <c r="AM35" i="5"/>
  <c r="AI35" i="5"/>
  <c r="AK35" i="5"/>
  <c r="AN35" i="5"/>
  <c r="AJ35" i="5"/>
  <c r="AG24" i="5"/>
  <c r="AQ11" i="5"/>
  <c r="AM11" i="5"/>
  <c r="AI11" i="5"/>
  <c r="AH36" i="5" l="1"/>
  <c r="AH35" i="5"/>
  <c r="AL35" i="5"/>
  <c r="D32" i="10"/>
  <c r="AO36" i="5"/>
  <c r="AP8" i="10" s="1"/>
  <c r="AL36" i="5"/>
  <c r="AM8" i="10" s="1"/>
  <c r="AJ36" i="5"/>
  <c r="AK8" i="10" s="1"/>
  <c r="AN36" i="5"/>
  <c r="AO8" i="10" s="1"/>
  <c r="AP36" i="5"/>
  <c r="AP37" i="5" s="1"/>
  <c r="AG36" i="5"/>
  <c r="AH8" i="10" s="1"/>
  <c r="AG12" i="5"/>
  <c r="AI36" i="5"/>
  <c r="AJ8" i="10" s="1"/>
  <c r="AQ36" i="5"/>
  <c r="AR8" i="10" s="1"/>
  <c r="AO35" i="5"/>
  <c r="Q149" i="13"/>
  <c r="J149" i="13"/>
  <c r="I150" i="13"/>
  <c r="D132" i="13" s="1"/>
  <c r="F150" i="13"/>
  <c r="K149" i="13"/>
  <c r="I149" i="13"/>
  <c r="P149" i="13"/>
  <c r="L149" i="13"/>
  <c r="O149" i="13"/>
  <c r="G149" i="13"/>
  <c r="N149" i="13"/>
  <c r="H149" i="13"/>
  <c r="F149" i="13"/>
  <c r="M149" i="13"/>
  <c r="AM36" i="5"/>
  <c r="AN8" i="10" s="1"/>
  <c r="AK36" i="5"/>
  <c r="AL8" i="10" s="1"/>
  <c r="AI8" i="10"/>
  <c r="AH37" i="5"/>
  <c r="AL7" i="10"/>
  <c r="AI12" i="5"/>
  <c r="AQ12" i="5"/>
  <c r="AM12" i="5"/>
  <c r="AI7" i="10"/>
  <c r="AR7" i="10"/>
  <c r="AM7" i="10"/>
  <c r="AN7" i="10"/>
  <c r="AQ7" i="10"/>
  <c r="AJ7" i="10"/>
  <c r="AO37" i="5" l="1"/>
  <c r="AJ37" i="5"/>
  <c r="AQ8" i="10"/>
  <c r="AQ9" i="10" s="1"/>
  <c r="AN16" i="21" s="1"/>
  <c r="AL37" i="5"/>
  <c r="AK37" i="5"/>
  <c r="AN37" i="5"/>
  <c r="AG37" i="5"/>
  <c r="AQ37" i="5"/>
  <c r="AR9" i="10"/>
  <c r="AO16" i="21" s="1"/>
  <c r="AJ9" i="10"/>
  <c r="AG16" i="21" s="1"/>
  <c r="AI37" i="5"/>
  <c r="AN9" i="10"/>
  <c r="AK16" i="21" s="1"/>
  <c r="AM37" i="5"/>
  <c r="AI9" i="10"/>
  <c r="AF16" i="21" s="1"/>
  <c r="AL9" i="10"/>
  <c r="AI16" i="21" s="1"/>
  <c r="AM9" i="10"/>
  <c r="AJ16" i="21" s="1"/>
  <c r="AH7" i="10"/>
  <c r="AK7" i="10"/>
  <c r="AK9" i="10" s="1"/>
  <c r="AH16" i="21" s="1"/>
  <c r="AP7" i="10"/>
  <c r="AP9" i="10" s="1"/>
  <c r="AM16" i="21" s="1"/>
  <c r="AO7" i="10"/>
  <c r="AO9" i="10" s="1"/>
  <c r="AL16" i="21" s="1"/>
  <c r="AN17" i="21" l="1"/>
  <c r="AG17" i="21"/>
  <c r="AO17" i="21"/>
  <c r="AL17" i="21"/>
  <c r="AJ17" i="21"/>
  <c r="AM17" i="21"/>
  <c r="AH17" i="21"/>
  <c r="AI17" i="21"/>
  <c r="AF17" i="21"/>
  <c r="AK17" i="21"/>
  <c r="AH9" i="10"/>
  <c r="AE16" i="21" s="1"/>
  <c r="AE17" i="21" l="1"/>
  <c r="AG6" i="13"/>
  <c r="AH6" i="13"/>
  <c r="AI6" i="13"/>
  <c r="AJ6" i="13"/>
  <c r="AK6" i="13"/>
  <c r="AL6" i="13"/>
  <c r="AM6" i="13"/>
  <c r="AN6" i="13"/>
  <c r="AO6" i="13"/>
  <c r="AP6" i="13"/>
  <c r="AQ6" i="13"/>
  <c r="AG7" i="13"/>
  <c r="AH7" i="13"/>
  <c r="AI7" i="13"/>
  <c r="AJ7" i="13"/>
  <c r="AK7" i="13"/>
  <c r="AL7" i="13"/>
  <c r="AM7" i="13"/>
  <c r="AN7" i="13"/>
  <c r="AO7" i="13"/>
  <c r="AP7" i="13"/>
  <c r="AQ7" i="13"/>
  <c r="AM59" i="21" l="1"/>
  <c r="AM61" i="21"/>
  <c r="AM62" i="21" s="1"/>
  <c r="AG61" i="21"/>
  <c r="AG62" i="21" s="1"/>
  <c r="AG59" i="21"/>
  <c r="AO59" i="21"/>
  <c r="AO61" i="21"/>
  <c r="AO62" i="21" s="1"/>
  <c r="AI61" i="21"/>
  <c r="AI62" i="21" s="1"/>
  <c r="AI59" i="21"/>
  <c r="AF61" i="21"/>
  <c r="AF62" i="21" s="1"/>
  <c r="AF59" i="21"/>
  <c r="AL61" i="21"/>
  <c r="AL62" i="21" s="1"/>
  <c r="AL59" i="21"/>
  <c r="AK61" i="21"/>
  <c r="AK62" i="21" s="1"/>
  <c r="AK59" i="21"/>
  <c r="AH61" i="21"/>
  <c r="AH62" i="21" s="1"/>
  <c r="AH59" i="21"/>
  <c r="AE61" i="21"/>
  <c r="AE62" i="21" s="1"/>
  <c r="AE59" i="21"/>
  <c r="AN61" i="21"/>
  <c r="AN62" i="21" s="1"/>
  <c r="AN59" i="21"/>
  <c r="AJ61" i="21"/>
  <c r="AJ62" i="21" s="1"/>
  <c r="AJ59" i="21"/>
  <c r="K22" i="5"/>
  <c r="D161" i="10" l="1"/>
  <c r="D160" i="10"/>
  <c r="D155" i="10"/>
  <c r="D154" i="10"/>
  <c r="D156" i="10" l="1"/>
  <c r="D159" i="10"/>
  <c r="D162" i="10"/>
  <c r="D97" i="10" l="1"/>
  <c r="D96" i="10"/>
  <c r="D95" i="10"/>
  <c r="D94" i="10"/>
  <c r="D93" i="10"/>
  <c r="D102" i="10" l="1"/>
  <c r="D101" i="10"/>
  <c r="AP37" i="21" s="1"/>
  <c r="AP34" i="21"/>
  <c r="D103" i="10"/>
  <c r="AP31" i="21" l="1"/>
  <c r="AD13" i="21"/>
  <c r="AF11" i="5"/>
  <c r="AF15" i="5"/>
  <c r="AF16" i="5"/>
  <c r="AF22" i="5"/>
  <c r="AG6" i="9"/>
  <c r="AG7" i="9"/>
  <c r="AG6" i="19"/>
  <c r="AG7" i="19"/>
  <c r="AF6" i="13"/>
  <c r="AF7" i="13"/>
  <c r="AG6" i="8"/>
  <c r="AG7" i="8"/>
  <c r="AD59" i="21" l="1"/>
  <c r="AG18" i="9"/>
  <c r="AF33" i="5"/>
  <c r="AF29" i="5"/>
  <c r="AG19" i="9"/>
  <c r="AD27" i="21"/>
  <c r="AF24" i="5"/>
  <c r="AD56" i="21"/>
  <c r="AD61" i="21"/>
  <c r="AD62" i="21" s="1"/>
  <c r="AF10" i="5"/>
  <c r="AF36" i="5" l="1"/>
  <c r="AG8" i="10" s="1"/>
  <c r="AF12" i="5"/>
  <c r="AF35" i="5"/>
  <c r="AG7" i="10" l="1"/>
  <c r="AG9" i="10" s="1"/>
  <c r="AD16" i="21" s="1"/>
  <c r="AF37" i="5"/>
  <c r="AD17" i="21" l="1"/>
  <c r="E22" i="5" l="1"/>
  <c r="F22" i="5"/>
  <c r="G22" i="5"/>
  <c r="H22" i="5"/>
  <c r="I22" i="5"/>
  <c r="J22" i="5"/>
  <c r="L22" i="5"/>
  <c r="M22" i="5"/>
  <c r="O22" i="5"/>
  <c r="P22" i="5"/>
  <c r="Q22" i="5"/>
  <c r="R22" i="5"/>
  <c r="S22" i="5"/>
  <c r="T22" i="5"/>
  <c r="U22" i="5"/>
  <c r="V22" i="5"/>
  <c r="W22" i="5"/>
  <c r="X22" i="5"/>
  <c r="Y22" i="5"/>
  <c r="Z22" i="5"/>
  <c r="AA22" i="5"/>
  <c r="AB22" i="5"/>
  <c r="AC22" i="5"/>
  <c r="AD22" i="5"/>
  <c r="AE22" i="5"/>
  <c r="D22" i="5"/>
  <c r="A49" i="5"/>
  <c r="AC21" i="13" l="1"/>
  <c r="A2" i="2" l="1"/>
  <c r="V10" i="5" l="1"/>
  <c r="V35" i="5" s="1"/>
  <c r="W7" i="10" s="1"/>
  <c r="V11" i="5"/>
  <c r="AA11" i="5"/>
  <c r="AA10" i="5"/>
  <c r="AA35" i="5" s="1"/>
  <c r="AB7" i="10" s="1"/>
  <c r="I11" i="5"/>
  <c r="I10" i="5"/>
  <c r="I35" i="5" s="1"/>
  <c r="J7" i="10" s="1"/>
  <c r="T11" i="5"/>
  <c r="T10" i="5"/>
  <c r="T35" i="5" s="1"/>
  <c r="U7" i="10" s="1"/>
  <c r="AE11" i="5"/>
  <c r="AE10" i="5"/>
  <c r="AE35" i="5" s="1"/>
  <c r="AF7" i="10" s="1"/>
  <c r="S11" i="5"/>
  <c r="S10" i="5"/>
  <c r="S35" i="5" s="1"/>
  <c r="T7" i="10" s="1"/>
  <c r="M11" i="5"/>
  <c r="M10" i="5"/>
  <c r="M35" i="5" s="1"/>
  <c r="N7" i="10" s="1"/>
  <c r="G11" i="5"/>
  <c r="G10" i="5"/>
  <c r="G35" i="5" s="1"/>
  <c r="H7" i="10" s="1"/>
  <c r="AB10" i="5"/>
  <c r="AB35" i="5" s="1"/>
  <c r="AC7" i="10" s="1"/>
  <c r="AB11" i="5"/>
  <c r="P10" i="5"/>
  <c r="P35" i="5" s="1"/>
  <c r="Q7" i="10" s="1"/>
  <c r="P11" i="5"/>
  <c r="U11" i="5"/>
  <c r="U10" i="5"/>
  <c r="U35" i="5" s="1"/>
  <c r="V7" i="10" s="1"/>
  <c r="D11" i="5"/>
  <c r="D10" i="5"/>
  <c r="D35" i="5" s="1"/>
  <c r="E7" i="10" s="1"/>
  <c r="N11" i="5"/>
  <c r="N10" i="5"/>
  <c r="N35" i="5" s="1"/>
  <c r="O7" i="10" s="1"/>
  <c r="Y11" i="5"/>
  <c r="Y10" i="5"/>
  <c r="Y35" i="5" s="1"/>
  <c r="Z7" i="10" s="1"/>
  <c r="AD10" i="5"/>
  <c r="AD35" i="5" s="1"/>
  <c r="AE7" i="10" s="1"/>
  <c r="AD11" i="5"/>
  <c r="X10" i="5"/>
  <c r="X35" i="5" s="1"/>
  <c r="Y7" i="10" s="1"/>
  <c r="X11" i="5"/>
  <c r="R11" i="5"/>
  <c r="R10" i="5"/>
  <c r="R35" i="5" s="1"/>
  <c r="S7" i="10" s="1"/>
  <c r="L11" i="5"/>
  <c r="L10" i="5"/>
  <c r="L35" i="5" s="1"/>
  <c r="M7" i="10" s="1"/>
  <c r="F11" i="5"/>
  <c r="F10" i="5"/>
  <c r="F35" i="5" s="1"/>
  <c r="G7" i="10" s="1"/>
  <c r="J10" i="5"/>
  <c r="J35" i="5" s="1"/>
  <c r="K7" i="10" s="1"/>
  <c r="J11" i="5"/>
  <c r="O11" i="5"/>
  <c r="O10" i="5"/>
  <c r="O35" i="5" s="1"/>
  <c r="P7" i="10" s="1"/>
  <c r="Z11" i="5"/>
  <c r="Z10" i="5"/>
  <c r="Z35" i="5" s="1"/>
  <c r="AA7" i="10" s="1"/>
  <c r="H11" i="5"/>
  <c r="H10" i="5"/>
  <c r="H35" i="5" s="1"/>
  <c r="I7" i="10" s="1"/>
  <c r="AC10" i="5"/>
  <c r="AC35" i="5" s="1"/>
  <c r="AD7" i="10" s="1"/>
  <c r="AC11" i="5"/>
  <c r="W10" i="5"/>
  <c r="W35" i="5" s="1"/>
  <c r="X7" i="10" s="1"/>
  <c r="W11" i="5"/>
  <c r="Q10" i="5"/>
  <c r="Q35" i="5" s="1"/>
  <c r="R7" i="10" s="1"/>
  <c r="Q11" i="5"/>
  <c r="K10" i="5"/>
  <c r="K35" i="5" s="1"/>
  <c r="L7" i="10" s="1"/>
  <c r="K11" i="5"/>
  <c r="E10" i="5"/>
  <c r="E35" i="5" s="1"/>
  <c r="F7" i="10" s="1"/>
  <c r="E11" i="5"/>
  <c r="D7" i="10" l="1"/>
  <c r="E13" i="21"/>
  <c r="E27" i="21" s="1"/>
  <c r="F13" i="21"/>
  <c r="F27" i="21" l="1"/>
  <c r="E56" i="21"/>
  <c r="F56" i="21"/>
  <c r="A5" i="8" l="1"/>
  <c r="A5" i="23"/>
  <c r="A5" i="13"/>
  <c r="A5" i="19"/>
  <c r="A14" i="5"/>
  <c r="A2" i="21"/>
  <c r="D167" i="10" l="1"/>
  <c r="D168" i="10" s="1"/>
  <c r="E23" i="28" s="1"/>
  <c r="D152" i="10"/>
  <c r="AP13" i="28" l="1"/>
  <c r="AP17" i="28" s="1"/>
  <c r="G13" i="28"/>
  <c r="G17" i="28" s="1"/>
  <c r="S13" i="28"/>
  <c r="S17" i="28" s="1"/>
  <c r="O13" i="28"/>
  <c r="O17" i="28" s="1"/>
  <c r="AH14" i="28"/>
  <c r="AH18" i="28" s="1"/>
  <c r="AH14" i="10" s="1"/>
  <c r="AP14" i="28"/>
  <c r="AP18" i="28" s="1"/>
  <c r="AP14" i="10" s="1"/>
  <c r="G14" i="28"/>
  <c r="AQ13" i="28"/>
  <c r="AQ17" i="28" s="1"/>
  <c r="AC14" i="28"/>
  <c r="AC18" i="28" s="1"/>
  <c r="AC14" i="10" s="1"/>
  <c r="F13" i="28"/>
  <c r="F17" i="28" s="1"/>
  <c r="AG14" i="28"/>
  <c r="AG18" i="28" s="1"/>
  <c r="AG14" i="10" s="1"/>
  <c r="Z13" i="28"/>
  <c r="Z17" i="28" s="1"/>
  <c r="AL13" i="28"/>
  <c r="AL17" i="28" s="1"/>
  <c r="AS13" i="28"/>
  <c r="AS17" i="28" s="1"/>
  <c r="L13" i="28"/>
  <c r="L17" i="28" s="1"/>
  <c r="AS14" i="28"/>
  <c r="AS18" i="28" s="1"/>
  <c r="AS14" i="10" s="1"/>
  <c r="Z14" i="28"/>
  <c r="Z18" i="28" s="1"/>
  <c r="Z14" i="10" s="1"/>
  <c r="Q14" i="28"/>
  <c r="V13" i="28"/>
  <c r="V17" i="28" s="1"/>
  <c r="J14" i="28"/>
  <c r="AH13" i="28"/>
  <c r="AH17" i="28" s="1"/>
  <c r="M14" i="28"/>
  <c r="AO13" i="28"/>
  <c r="AO17" i="28" s="1"/>
  <c r="AK13" i="28"/>
  <c r="AK17" i="28" s="1"/>
  <c r="R13" i="28"/>
  <c r="R17" i="28" s="1"/>
  <c r="M13" i="28"/>
  <c r="M17" i="28" s="1"/>
  <c r="AI14" i="28"/>
  <c r="AI18" i="28" s="1"/>
  <c r="AI14" i="10" s="1"/>
  <c r="AO14" i="28"/>
  <c r="AO18" i="28" s="1"/>
  <c r="AO14" i="10" s="1"/>
  <c r="F14" i="28"/>
  <c r="Y13" i="28"/>
  <c r="Y17" i="28" s="1"/>
  <c r="U13" i="28"/>
  <c r="U17" i="28" s="1"/>
  <c r="AC13" i="28"/>
  <c r="AC17" i="28" s="1"/>
  <c r="AF14" i="28"/>
  <c r="AF18" i="28" s="1"/>
  <c r="AF14" i="10" s="1"/>
  <c r="AR14" i="28"/>
  <c r="AR18" i="28" s="1"/>
  <c r="AR14" i="10" s="1"/>
  <c r="Y14" i="28"/>
  <c r="Y18" i="28" s="1"/>
  <c r="Y14" i="10" s="1"/>
  <c r="AK14" i="28"/>
  <c r="AK18" i="28" s="1"/>
  <c r="AK14" i="10" s="1"/>
  <c r="I13" i="28"/>
  <c r="I17" i="28" s="1"/>
  <c r="E13" i="28"/>
  <c r="E17" i="28" s="1"/>
  <c r="AA13" i="28"/>
  <c r="AA17" i="28" s="1"/>
  <c r="P14" i="28"/>
  <c r="AB14" i="28"/>
  <c r="AB18" i="28" s="1"/>
  <c r="AB14" i="10" s="1"/>
  <c r="I14" i="28"/>
  <c r="U14" i="28"/>
  <c r="U18" i="28" s="1"/>
  <c r="U14" i="10" s="1"/>
  <c r="AN13" i="28"/>
  <c r="AN17" i="28" s="1"/>
  <c r="AR13" i="28"/>
  <c r="AR17" i="28" s="1"/>
  <c r="AG13" i="28"/>
  <c r="AG17" i="28" s="1"/>
  <c r="AE14" i="28"/>
  <c r="AE18" i="28" s="1"/>
  <c r="AE14" i="10" s="1"/>
  <c r="L14" i="28"/>
  <c r="AN14" i="28"/>
  <c r="AN18" i="28" s="1"/>
  <c r="AN14" i="10" s="1"/>
  <c r="E14" i="28"/>
  <c r="X13" i="28"/>
  <c r="X17" i="28" s="1"/>
  <c r="K13" i="28"/>
  <c r="K17" i="28" s="1"/>
  <c r="Q13" i="28"/>
  <c r="Q17" i="28" s="1"/>
  <c r="O14" i="28"/>
  <c r="S14" i="28"/>
  <c r="X14" i="28"/>
  <c r="X18" i="28" s="1"/>
  <c r="X14" i="10" s="1"/>
  <c r="AJ14" i="28"/>
  <c r="AJ18" i="28" s="1"/>
  <c r="AJ14" i="10" s="1"/>
  <c r="H13" i="28"/>
  <c r="H17" i="28" s="1"/>
  <c r="AJ13" i="28"/>
  <c r="AJ17" i="28" s="1"/>
  <c r="AF13" i="28"/>
  <c r="AF17" i="28" s="1"/>
  <c r="R14" i="28"/>
  <c r="AQ14" i="28"/>
  <c r="AQ18" i="28" s="1"/>
  <c r="AQ14" i="10" s="1"/>
  <c r="H14" i="28"/>
  <c r="T14" i="28"/>
  <c r="T18" i="28" s="1"/>
  <c r="T14" i="10" s="1"/>
  <c r="AM13" i="28"/>
  <c r="AM17" i="28" s="1"/>
  <c r="T13" i="28"/>
  <c r="T17" i="28" s="1"/>
  <c r="P13" i="28"/>
  <c r="P17" i="28" s="1"/>
  <c r="AD14" i="28"/>
  <c r="AD18" i="28" s="1"/>
  <c r="AD14" i="10" s="1"/>
  <c r="AA14" i="28"/>
  <c r="AA18" i="28" s="1"/>
  <c r="AA14" i="10" s="1"/>
  <c r="AM14" i="28"/>
  <c r="AM18" i="28" s="1"/>
  <c r="AM14" i="10" s="1"/>
  <c r="W13" i="28"/>
  <c r="W17" i="28" s="1"/>
  <c r="AI13" i="28"/>
  <c r="AI17" i="28" s="1"/>
  <c r="AE13" i="28"/>
  <c r="AE17" i="28" s="1"/>
  <c r="N14" i="28"/>
  <c r="K14" i="28"/>
  <c r="W14" i="28"/>
  <c r="W18" i="28" s="1"/>
  <c r="W14" i="10" s="1"/>
  <c r="J13" i="28"/>
  <c r="J17" i="28" s="1"/>
  <c r="AD13" i="28"/>
  <c r="AD17" i="28" s="1"/>
  <c r="AL14" i="28"/>
  <c r="AL18" i="28" s="1"/>
  <c r="AL14" i="10" s="1"/>
  <c r="AB13" i="28"/>
  <c r="AB17" i="28" s="1"/>
  <c r="N13" i="28"/>
  <c r="N17" i="28" s="1"/>
  <c r="V14" i="28"/>
  <c r="V18" i="28" s="1"/>
  <c r="V14" i="10" s="1"/>
  <c r="E38" i="9"/>
  <c r="E52" i="8"/>
  <c r="D131" i="13"/>
  <c r="E48" i="19"/>
  <c r="S18" i="28" l="1"/>
  <c r="AF13" i="10"/>
  <c r="AF19" i="28"/>
  <c r="AF15" i="10" s="1"/>
  <c r="AK13" i="10"/>
  <c r="AK19" i="28"/>
  <c r="AK15" i="10" s="1"/>
  <c r="H13" i="10"/>
  <c r="H18" i="28"/>
  <c r="H14" i="10" s="1"/>
  <c r="N13" i="10"/>
  <c r="N18" i="28"/>
  <c r="N14" i="10" s="1"/>
  <c r="K18" i="28"/>
  <c r="K14" i="10" s="1"/>
  <c r="K13" i="10"/>
  <c r="O13" i="10"/>
  <c r="O18" i="28"/>
  <c r="O14" i="10" s="1"/>
  <c r="AJ13" i="10"/>
  <c r="AJ19" i="28"/>
  <c r="AJ15" i="10" s="1"/>
  <c r="AN13" i="10"/>
  <c r="AN19" i="28"/>
  <c r="AN15" i="10" s="1"/>
  <c r="U13" i="10"/>
  <c r="U19" i="28"/>
  <c r="U15" i="10" s="1"/>
  <c r="V13" i="10"/>
  <c r="V19" i="28"/>
  <c r="V15" i="10" s="1"/>
  <c r="AD13" i="10"/>
  <c r="AD19" i="28"/>
  <c r="AD15" i="10" s="1"/>
  <c r="T13" i="10"/>
  <c r="T19" i="28"/>
  <c r="T15" i="10" s="1"/>
  <c r="Y13" i="10"/>
  <c r="Y19" i="28"/>
  <c r="Y15" i="10" s="1"/>
  <c r="Q13" i="10"/>
  <c r="Q18" i="28"/>
  <c r="Q14" i="10" s="1"/>
  <c r="X13" i="10"/>
  <c r="X19" i="28"/>
  <c r="X15" i="10" s="1"/>
  <c r="AA13" i="10"/>
  <c r="AA19" i="28"/>
  <c r="AA15" i="10" s="1"/>
  <c r="L13" i="10"/>
  <c r="L18" i="28"/>
  <c r="L14" i="10" s="1"/>
  <c r="S13" i="10"/>
  <c r="E13" i="10"/>
  <c r="E18" i="28"/>
  <c r="E14" i="10" s="1"/>
  <c r="M13" i="10"/>
  <c r="M18" i="28"/>
  <c r="M14" i="10" s="1"/>
  <c r="AS13" i="10"/>
  <c r="AS19" i="28"/>
  <c r="AS15" i="10" s="1"/>
  <c r="G13" i="10"/>
  <c r="G18" i="28"/>
  <c r="G14" i="10" s="1"/>
  <c r="G19" i="28"/>
  <c r="G15" i="10" s="1"/>
  <c r="AI13" i="10"/>
  <c r="AI19" i="28"/>
  <c r="AI15" i="10" s="1"/>
  <c r="Z13" i="10"/>
  <c r="Z19" i="28"/>
  <c r="Z15" i="10" s="1"/>
  <c r="W13" i="10"/>
  <c r="W19" i="28"/>
  <c r="W15" i="10" s="1"/>
  <c r="AO13" i="10"/>
  <c r="AO19" i="28"/>
  <c r="AO15" i="10" s="1"/>
  <c r="AG13" i="10"/>
  <c r="AG19" i="28"/>
  <c r="AG15" i="10" s="1"/>
  <c r="F13" i="10"/>
  <c r="F18" i="28"/>
  <c r="AR13" i="10"/>
  <c r="AR19" i="28"/>
  <c r="AR15" i="10" s="1"/>
  <c r="AH13" i="10"/>
  <c r="AH19" i="28"/>
  <c r="AH15" i="10" s="1"/>
  <c r="AB13" i="10"/>
  <c r="AB19" i="28"/>
  <c r="AB15" i="10" s="1"/>
  <c r="AC13" i="10"/>
  <c r="AC19" i="28"/>
  <c r="AC15" i="10" s="1"/>
  <c r="AQ13" i="10"/>
  <c r="AQ19" i="28"/>
  <c r="AQ15" i="10" s="1"/>
  <c r="P13" i="10"/>
  <c r="P18" i="28"/>
  <c r="P14" i="10" s="1"/>
  <c r="J13" i="10"/>
  <c r="J18" i="28"/>
  <c r="J14" i="10" s="1"/>
  <c r="AM13" i="10"/>
  <c r="AM19" i="28"/>
  <c r="AM15" i="10" s="1"/>
  <c r="AE13" i="10"/>
  <c r="AE19" i="28"/>
  <c r="AE15" i="10" s="1"/>
  <c r="I13" i="10"/>
  <c r="I18" i="28"/>
  <c r="R18" i="28"/>
  <c r="R14" i="10" s="1"/>
  <c r="R13" i="10"/>
  <c r="AL13" i="10"/>
  <c r="AL19" i="28"/>
  <c r="AL15" i="10" s="1"/>
  <c r="AP13" i="10"/>
  <c r="AP19" i="28"/>
  <c r="AP15" i="10" s="1"/>
  <c r="G14" i="8"/>
  <c r="G10" i="8"/>
  <c r="G15" i="8"/>
  <c r="AD15" i="8"/>
  <c r="AD10" i="8"/>
  <c r="AD11" i="8"/>
  <c r="AD14" i="8"/>
  <c r="G11" i="8"/>
  <c r="I22" i="9"/>
  <c r="AD22" i="9"/>
  <c r="AD21" i="9"/>
  <c r="AD24" i="9" s="1"/>
  <c r="I21" i="9"/>
  <c r="I24" i="9" s="1"/>
  <c r="I28" i="9" s="1"/>
  <c r="I32" i="9" s="1"/>
  <c r="AC122" i="13"/>
  <c r="F122" i="13"/>
  <c r="F118" i="13"/>
  <c r="AC118" i="13"/>
  <c r="S14" i="10" l="1"/>
  <c r="S19" i="28"/>
  <c r="S15" i="10" s="1"/>
  <c r="I14" i="10"/>
  <c r="I19" i="28"/>
  <c r="I15" i="10" s="1"/>
  <c r="F14" i="10"/>
  <c r="F19" i="28"/>
  <c r="F15" i="10" s="1"/>
  <c r="J19" i="28"/>
  <c r="J15" i="10" s="1"/>
  <c r="K19" i="28"/>
  <c r="K15" i="10" s="1"/>
  <c r="K22" i="21" s="1"/>
  <c r="H19" i="28"/>
  <c r="H15" i="10" s="1"/>
  <c r="R19" i="28"/>
  <c r="R15" i="10" s="1"/>
  <c r="R22" i="21" s="1"/>
  <c r="Q19" i="28"/>
  <c r="Q15" i="10" s="1"/>
  <c r="M19" i="28"/>
  <c r="M15" i="10" s="1"/>
  <c r="M22" i="21" s="1"/>
  <c r="P19" i="28"/>
  <c r="P15" i="10" s="1"/>
  <c r="P20" i="21" s="1"/>
  <c r="E19" i="28"/>
  <c r="E15" i="10" s="1"/>
  <c r="E20" i="21" s="1"/>
  <c r="E21" i="21" s="1"/>
  <c r="N19" i="28"/>
  <c r="N15" i="10" s="1"/>
  <c r="N22" i="21" s="1"/>
  <c r="AB22" i="21"/>
  <c r="AB20" i="21"/>
  <c r="U22" i="21"/>
  <c r="U20" i="21"/>
  <c r="G20" i="21"/>
  <c r="G22" i="21"/>
  <c r="L19" i="28"/>
  <c r="L15" i="10" s="1"/>
  <c r="T20" i="21"/>
  <c r="T22" i="21"/>
  <c r="O19" i="28"/>
  <c r="O15" i="10" s="1"/>
  <c r="AK22" i="21"/>
  <c r="AK23" i="21" s="1"/>
  <c r="AK20" i="21"/>
  <c r="AK21" i="21" s="1"/>
  <c r="Z22" i="21"/>
  <c r="Z20" i="21"/>
  <c r="F20" i="21"/>
  <c r="F21" i="21" s="1"/>
  <c r="F22" i="21"/>
  <c r="F23" i="21" s="1"/>
  <c r="AJ20" i="21"/>
  <c r="AJ21" i="21" s="1"/>
  <c r="AJ22" i="21"/>
  <c r="AJ23" i="21" s="1"/>
  <c r="AG22" i="21"/>
  <c r="AG23" i="21" s="1"/>
  <c r="AG20" i="21"/>
  <c r="AG21" i="21" s="1"/>
  <c r="AP22" i="21"/>
  <c r="AP23" i="21" s="1"/>
  <c r="AP20" i="21"/>
  <c r="AP21" i="21" s="1"/>
  <c r="V20" i="21"/>
  <c r="V22" i="21"/>
  <c r="AN20" i="21"/>
  <c r="AN21" i="21" s="1"/>
  <c r="AN22" i="21"/>
  <c r="AN23" i="21" s="1"/>
  <c r="D13" i="10"/>
  <c r="Y20" i="21"/>
  <c r="Y22" i="21"/>
  <c r="AE22" i="21"/>
  <c r="AE23" i="21" s="1"/>
  <c r="AE20" i="21"/>
  <c r="AE21" i="21" s="1"/>
  <c r="AC20" i="21"/>
  <c r="AC22" i="21"/>
  <c r="AD22" i="21"/>
  <c r="AD23" i="21" s="1"/>
  <c r="AD20" i="21"/>
  <c r="AD21" i="21" s="1"/>
  <c r="AF22" i="21"/>
  <c r="AF23" i="21" s="1"/>
  <c r="AF20" i="21"/>
  <c r="AF21" i="21" s="1"/>
  <c r="AM20" i="21"/>
  <c r="AM21" i="21" s="1"/>
  <c r="AM22" i="21"/>
  <c r="AM23" i="21" s="1"/>
  <c r="W20" i="21"/>
  <c r="W22" i="21"/>
  <c r="X22" i="21"/>
  <c r="X20" i="21"/>
  <c r="AL20" i="21"/>
  <c r="AL21" i="21" s="1"/>
  <c r="AL22" i="21"/>
  <c r="AL23" i="21" s="1"/>
  <c r="AH22" i="21"/>
  <c r="AH23" i="21" s="1"/>
  <c r="AH20" i="21"/>
  <c r="AH21" i="21" s="1"/>
  <c r="AI22" i="21"/>
  <c r="AI23" i="21" s="1"/>
  <c r="AI20" i="21"/>
  <c r="AI21" i="21" s="1"/>
  <c r="AO20" i="21"/>
  <c r="AO21" i="21" s="1"/>
  <c r="AO22" i="21"/>
  <c r="AO23" i="21" s="1"/>
  <c r="AA20" i="21"/>
  <c r="AA22" i="21"/>
  <c r="E30" i="8"/>
  <c r="E36" i="8"/>
  <c r="G36" i="8"/>
  <c r="G30" i="8"/>
  <c r="G33" i="8"/>
  <c r="AD23" i="8"/>
  <c r="AD26" i="8"/>
  <c r="AD20" i="8"/>
  <c r="AD33" i="8"/>
  <c r="AD30" i="8"/>
  <c r="AD36" i="8"/>
  <c r="AD19" i="8"/>
  <c r="AD25" i="8"/>
  <c r="AD22" i="8"/>
  <c r="AD34" i="8"/>
  <c r="AD37" i="8"/>
  <c r="AD31" i="8"/>
  <c r="E31" i="8"/>
  <c r="G34" i="8"/>
  <c r="E37" i="8"/>
  <c r="E34" i="8"/>
  <c r="G31" i="8"/>
  <c r="G37" i="8"/>
  <c r="AD28" i="9"/>
  <c r="AD32" i="9" s="1"/>
  <c r="E25" i="8"/>
  <c r="G22" i="8"/>
  <c r="E19" i="8"/>
  <c r="G19" i="8"/>
  <c r="G25" i="8"/>
  <c r="E22" i="8"/>
  <c r="E26" i="8"/>
  <c r="E20" i="8"/>
  <c r="G26" i="8"/>
  <c r="G20" i="8"/>
  <c r="E23" i="8"/>
  <c r="G23" i="8"/>
  <c r="AC126" i="13"/>
  <c r="AD9" i="19" s="1"/>
  <c r="J22" i="21" l="1"/>
  <c r="J20" i="21"/>
  <c r="D14" i="10"/>
  <c r="S20" i="21"/>
  <c r="S22" i="21"/>
  <c r="I20" i="21"/>
  <c r="I22" i="21"/>
  <c r="H22" i="21"/>
  <c r="H20" i="21"/>
  <c r="R20" i="21"/>
  <c r="K20" i="21"/>
  <c r="M20" i="21"/>
  <c r="Q20" i="21"/>
  <c r="Q22" i="21"/>
  <c r="E22" i="21"/>
  <c r="E23" i="21" s="1"/>
  <c r="P22" i="21"/>
  <c r="N20" i="21"/>
  <c r="D15" i="10"/>
  <c r="L22" i="21"/>
  <c r="L20" i="21"/>
  <c r="O22" i="21"/>
  <c r="O20" i="21"/>
  <c r="AD47" i="8"/>
  <c r="AD26" i="10" s="1"/>
  <c r="AD39" i="8"/>
  <c r="AD18" i="10" s="1"/>
  <c r="AD43" i="8"/>
  <c r="AD22" i="10" s="1"/>
  <c r="G39" i="8"/>
  <c r="G18" i="10" s="1"/>
  <c r="G47" i="8"/>
  <c r="G26" i="10" s="1"/>
  <c r="E43" i="8"/>
  <c r="E22" i="10" s="1"/>
  <c r="G43" i="8"/>
  <c r="G22" i="10" s="1"/>
  <c r="E47" i="8"/>
  <c r="E26" i="10" s="1"/>
  <c r="E39" i="8"/>
  <c r="E18" i="10" s="1"/>
  <c r="A2" i="23"/>
  <c r="O23" i="21" l="1"/>
  <c r="D20" i="21"/>
  <c r="D22" i="21"/>
  <c r="AC13" i="21"/>
  <c r="AB13" i="21"/>
  <c r="AA13" i="21"/>
  <c r="Z13" i="21"/>
  <c r="Y13" i="21"/>
  <c r="X13" i="21"/>
  <c r="W13" i="21"/>
  <c r="V13" i="21"/>
  <c r="U13" i="21"/>
  <c r="T13" i="21"/>
  <c r="S13" i="21"/>
  <c r="R13" i="21"/>
  <c r="Q13" i="21"/>
  <c r="Q23" i="21" s="1"/>
  <c r="P13" i="21"/>
  <c r="P21" i="21" s="1"/>
  <c r="O13" i="21"/>
  <c r="O21" i="21" s="1"/>
  <c r="N13" i="21"/>
  <c r="N23" i="21" s="1"/>
  <c r="M13" i="21"/>
  <c r="M23" i="21" s="1"/>
  <c r="L13" i="21"/>
  <c r="L21" i="21" s="1"/>
  <c r="K13" i="21"/>
  <c r="J13" i="21"/>
  <c r="I13" i="21"/>
  <c r="H13" i="21"/>
  <c r="G13" i="21"/>
  <c r="P23" i="21" l="1"/>
  <c r="M21" i="21"/>
  <c r="N21" i="21"/>
  <c r="AC23" i="21"/>
  <c r="AC21" i="21"/>
  <c r="R23" i="21"/>
  <c r="R21" i="21"/>
  <c r="G21" i="21"/>
  <c r="G23" i="21"/>
  <c r="Q21" i="21"/>
  <c r="U23" i="21"/>
  <c r="U21" i="21"/>
  <c r="J21" i="21"/>
  <c r="J23" i="21"/>
  <c r="V21" i="21"/>
  <c r="V23" i="21"/>
  <c r="W21" i="21"/>
  <c r="W23" i="21"/>
  <c r="Y21" i="21"/>
  <c r="Y23" i="21"/>
  <c r="Z21" i="21"/>
  <c r="Z23" i="21"/>
  <c r="T21" i="21"/>
  <c r="T23" i="21"/>
  <c r="I21" i="21"/>
  <c r="I23" i="21"/>
  <c r="X23" i="21"/>
  <c r="X21" i="21"/>
  <c r="AA23" i="21"/>
  <c r="AA21" i="21"/>
  <c r="S23" i="21"/>
  <c r="S21" i="21"/>
  <c r="H23" i="21"/>
  <c r="H21" i="21"/>
  <c r="K21" i="21"/>
  <c r="K23" i="21"/>
  <c r="L23" i="21"/>
  <c r="AB21" i="21"/>
  <c r="AB23" i="21"/>
  <c r="M59" i="21"/>
  <c r="Z59" i="21"/>
  <c r="L59" i="21"/>
  <c r="AB59" i="21"/>
  <c r="AC59" i="21"/>
  <c r="W59" i="21"/>
  <c r="X59" i="21"/>
  <c r="Y59" i="21"/>
  <c r="AA59" i="21"/>
  <c r="K59" i="21"/>
  <c r="J59" i="21"/>
  <c r="G59" i="21"/>
  <c r="O59" i="21"/>
  <c r="N59" i="21"/>
  <c r="U27" i="21"/>
  <c r="Y27" i="21"/>
  <c r="R27" i="21"/>
  <c r="T27" i="21"/>
  <c r="W27" i="21"/>
  <c r="J27" i="21"/>
  <c r="Z27" i="21"/>
  <c r="Q27" i="21"/>
  <c r="V27" i="21"/>
  <c r="X27" i="21"/>
  <c r="AA27" i="21"/>
  <c r="G27" i="21"/>
  <c r="I27" i="21"/>
  <c r="AB27" i="21"/>
  <c r="P27" i="21"/>
  <c r="M27" i="21"/>
  <c r="AC27" i="21"/>
  <c r="S27" i="21"/>
  <c r="H27" i="21"/>
  <c r="K27" i="21"/>
  <c r="N27" i="21"/>
  <c r="L27" i="21"/>
  <c r="O27" i="21"/>
  <c r="R59" i="21"/>
  <c r="S59" i="21"/>
  <c r="P59" i="21"/>
  <c r="T59" i="21"/>
  <c r="U59" i="21"/>
  <c r="Q59" i="21"/>
  <c r="V59" i="21"/>
  <c r="R61" i="21"/>
  <c r="R62" i="21" s="1"/>
  <c r="G61" i="21"/>
  <c r="G62" i="21" s="1"/>
  <c r="M61" i="21"/>
  <c r="M62" i="21" s="1"/>
  <c r="S61" i="21"/>
  <c r="S62" i="21" s="1"/>
  <c r="Y61" i="21"/>
  <c r="Y62" i="21" s="1"/>
  <c r="N61" i="21"/>
  <c r="N62" i="21" s="1"/>
  <c r="T61" i="21"/>
  <c r="T62" i="21" s="1"/>
  <c r="Z61" i="21"/>
  <c r="Z62" i="21" s="1"/>
  <c r="L61" i="21"/>
  <c r="L62" i="21" s="1"/>
  <c r="O61" i="21"/>
  <c r="O62" i="21" s="1"/>
  <c r="U61" i="21"/>
  <c r="U62" i="21" s="1"/>
  <c r="AA61" i="21"/>
  <c r="AA62" i="21" s="1"/>
  <c r="J61" i="21"/>
  <c r="J62" i="21" s="1"/>
  <c r="P61" i="21"/>
  <c r="P62" i="21" s="1"/>
  <c r="V61" i="21"/>
  <c r="V62" i="21" s="1"/>
  <c r="AB61" i="21"/>
  <c r="AB62" i="21" s="1"/>
  <c r="K61" i="21"/>
  <c r="K62" i="21" s="1"/>
  <c r="Q61" i="21"/>
  <c r="Q62" i="21" s="1"/>
  <c r="W61" i="21"/>
  <c r="W62" i="21" s="1"/>
  <c r="AC61" i="21"/>
  <c r="AC62" i="21" s="1"/>
  <c r="X61" i="21"/>
  <c r="X62" i="21" s="1"/>
  <c r="AC56" i="21"/>
  <c r="L56" i="21"/>
  <c r="X56" i="21"/>
  <c r="M56" i="21"/>
  <c r="I56" i="21"/>
  <c r="O56" i="21"/>
  <c r="U56" i="21"/>
  <c r="AA56" i="21"/>
  <c r="R56" i="21"/>
  <c r="J56" i="21"/>
  <c r="P56" i="21"/>
  <c r="V56" i="21"/>
  <c r="AB56" i="21"/>
  <c r="K56" i="21"/>
  <c r="Q56" i="21"/>
  <c r="W56" i="21"/>
  <c r="G56" i="21"/>
  <c r="S56" i="21"/>
  <c r="Y56" i="21"/>
  <c r="H56" i="21"/>
  <c r="N56" i="21"/>
  <c r="T56" i="21"/>
  <c r="Z56" i="21"/>
  <c r="D23" i="21" l="1"/>
  <c r="E13" i="1" s="1"/>
  <c r="D21" i="21"/>
  <c r="E12" i="1" s="1"/>
  <c r="AF7" i="19"/>
  <c r="AE7" i="19"/>
  <c r="AD7" i="19"/>
  <c r="AC7" i="19"/>
  <c r="AB7" i="19"/>
  <c r="AA7" i="19"/>
  <c r="Z7" i="19"/>
  <c r="Y7" i="19"/>
  <c r="X7" i="19"/>
  <c r="W7" i="19"/>
  <c r="V7" i="19"/>
  <c r="U7" i="19"/>
  <c r="T7" i="19"/>
  <c r="S7" i="19"/>
  <c r="R7" i="19"/>
  <c r="Q7" i="19"/>
  <c r="P7" i="19"/>
  <c r="O7" i="19"/>
  <c r="N7" i="19"/>
  <c r="M7" i="19"/>
  <c r="L7" i="19"/>
  <c r="K7" i="19"/>
  <c r="J7" i="19"/>
  <c r="I7" i="19"/>
  <c r="H7" i="19"/>
  <c r="G7" i="19"/>
  <c r="F7" i="19"/>
  <c r="E7" i="19"/>
  <c r="AF6" i="19"/>
  <c r="AE6" i="19"/>
  <c r="AD6" i="19"/>
  <c r="AC6" i="19"/>
  <c r="AB6" i="19"/>
  <c r="AA6" i="19"/>
  <c r="Z6" i="19"/>
  <c r="Y6" i="19"/>
  <c r="X6" i="19"/>
  <c r="W6" i="19"/>
  <c r="V6" i="19"/>
  <c r="U6" i="19"/>
  <c r="T6" i="19"/>
  <c r="S6" i="19"/>
  <c r="R6" i="19"/>
  <c r="Q6" i="19"/>
  <c r="P6" i="19"/>
  <c r="O6" i="19"/>
  <c r="N6" i="19"/>
  <c r="M6" i="19"/>
  <c r="L6" i="19"/>
  <c r="K6" i="19"/>
  <c r="J6" i="19"/>
  <c r="I6" i="19"/>
  <c r="H6" i="19"/>
  <c r="G6" i="19"/>
  <c r="F6" i="19"/>
  <c r="E6" i="19"/>
  <c r="A2" i="19"/>
  <c r="G5" i="23" l="1"/>
  <c r="H5" i="23" s="1"/>
  <c r="I5" i="23" l="1"/>
  <c r="AG41" i="10" l="1"/>
  <c r="AD37" i="21" s="1"/>
  <c r="AG37" i="10"/>
  <c r="AD34" i="21" s="1"/>
  <c r="AG33" i="10"/>
  <c r="AD31" i="21" s="1"/>
  <c r="AK33" i="10"/>
  <c r="AH31" i="21" s="1"/>
  <c r="AJ33" i="10"/>
  <c r="AG31" i="21" s="1"/>
  <c r="AM33" i="10"/>
  <c r="AJ31" i="21" s="1"/>
  <c r="AP33" i="10"/>
  <c r="AM31" i="21" s="1"/>
  <c r="AN33" i="10"/>
  <c r="AK31" i="21" s="1"/>
  <c r="AQ33" i="10"/>
  <c r="AN31" i="21" s="1"/>
  <c r="AH33" i="10"/>
  <c r="AE31" i="21" s="1"/>
  <c r="AO33" i="10"/>
  <c r="AL31" i="21" s="1"/>
  <c r="AR33" i="10"/>
  <c r="AO31" i="21" s="1"/>
  <c r="AL33" i="10"/>
  <c r="AI31" i="21" s="1"/>
  <c r="AI33" i="10"/>
  <c r="AF31" i="21" s="1"/>
  <c r="AF33" i="10"/>
  <c r="AC31" i="21" s="1"/>
  <c r="AA33" i="10"/>
  <c r="X31" i="21" s="1"/>
  <c r="R33" i="10"/>
  <c r="O31" i="21" s="1"/>
  <c r="V33" i="10"/>
  <c r="S31" i="21" s="1"/>
  <c r="AE33" i="10"/>
  <c r="AB31" i="21" s="1"/>
  <c r="O33" i="10"/>
  <c r="L31" i="21" s="1"/>
  <c r="Z33" i="10"/>
  <c r="W31" i="21" s="1"/>
  <c r="Y33" i="10"/>
  <c r="V31" i="21" s="1"/>
  <c r="AB33" i="10"/>
  <c r="Y31" i="21" s="1"/>
  <c r="W33" i="10"/>
  <c r="T31" i="21" s="1"/>
  <c r="T33" i="10"/>
  <c r="Q31" i="21" s="1"/>
  <c r="S33" i="10"/>
  <c r="P31" i="21" s="1"/>
  <c r="P33" i="10"/>
  <c r="M31" i="21" s="1"/>
  <c r="X33" i="10"/>
  <c r="U31" i="21" s="1"/>
  <c r="Q33" i="10"/>
  <c r="N31" i="21" s="1"/>
  <c r="AC33" i="10"/>
  <c r="Z31" i="21" s="1"/>
  <c r="AL41" i="10" l="1"/>
  <c r="AI37" i="21" s="1"/>
  <c r="AK41" i="10"/>
  <c r="AH37" i="21" s="1"/>
  <c r="AJ41" i="10"/>
  <c r="AG37" i="21" s="1"/>
  <c r="AH41" i="10"/>
  <c r="AE37" i="21" s="1"/>
  <c r="AI41" i="10"/>
  <c r="AF37" i="21" s="1"/>
  <c r="AM37" i="10"/>
  <c r="AJ34" i="21" s="1"/>
  <c r="AN37" i="10"/>
  <c r="AK34" i="21" s="1"/>
  <c r="AM41" i="10"/>
  <c r="AJ37" i="21" s="1"/>
  <c r="AP41" i="10"/>
  <c r="AM37" i="21" s="1"/>
  <c r="AO37" i="10"/>
  <c r="AL34" i="21" s="1"/>
  <c r="AQ41" i="10"/>
  <c r="AN37" i="21" s="1"/>
  <c r="AQ37" i="10"/>
  <c r="AN34" i="21" s="1"/>
  <c r="AO41" i="10"/>
  <c r="AL37" i="21" s="1"/>
  <c r="AR41" i="10"/>
  <c r="AO37" i="21" s="1"/>
  <c r="AP37" i="10"/>
  <c r="AM34" i="21" s="1"/>
  <c r="AL37" i="10"/>
  <c r="AI34" i="21" s="1"/>
  <c r="AH37" i="10"/>
  <c r="AE34" i="21" s="1"/>
  <c r="AN41" i="10"/>
  <c r="AK37" i="21" s="1"/>
  <c r="AJ37" i="10"/>
  <c r="AG34" i="21" s="1"/>
  <c r="AI37" i="10"/>
  <c r="AF34" i="21" s="1"/>
  <c r="AK37" i="10"/>
  <c r="AH34" i="21" s="1"/>
  <c r="AR37" i="10"/>
  <c r="AO34" i="21" s="1"/>
  <c r="AD33" i="10"/>
  <c r="AA31" i="21" s="1"/>
  <c r="U33" i="10"/>
  <c r="R31" i="21" s="1"/>
  <c r="AA41" i="10"/>
  <c r="X37" i="21" s="1"/>
  <c r="V41" i="10"/>
  <c r="S37" i="21" s="1"/>
  <c r="Q41" i="10"/>
  <c r="N37" i="21" s="1"/>
  <c r="AA37" i="10"/>
  <c r="X34" i="21" s="1"/>
  <c r="V37" i="10"/>
  <c r="S34" i="21" s="1"/>
  <c r="Q37" i="10"/>
  <c r="N34" i="21" s="1"/>
  <c r="R37" i="10"/>
  <c r="O34" i="21" s="1"/>
  <c r="I33" i="10"/>
  <c r="F31" i="21" s="1"/>
  <c r="O41" i="10"/>
  <c r="L37" i="21" s="1"/>
  <c r="O37" i="10"/>
  <c r="L34" i="21" s="1"/>
  <c r="G33" i="10"/>
  <c r="H33" i="10"/>
  <c r="E31" i="21" s="1"/>
  <c r="U41" i="10"/>
  <c r="R37" i="21" s="1"/>
  <c r="AB41" i="10"/>
  <c r="Y37" i="21" s="1"/>
  <c r="X41" i="10"/>
  <c r="U37" i="21" s="1"/>
  <c r="AF41" i="10"/>
  <c r="AC37" i="21" s="1"/>
  <c r="AE41" i="10"/>
  <c r="AB37" i="21" s="1"/>
  <c r="U37" i="10"/>
  <c r="R34" i="21" s="1"/>
  <c r="AB37" i="10"/>
  <c r="Y34" i="21" s="1"/>
  <c r="X37" i="10"/>
  <c r="U34" i="21" s="1"/>
  <c r="AF37" i="10"/>
  <c r="AC34" i="21" s="1"/>
  <c r="AE37" i="10"/>
  <c r="AB34" i="21" s="1"/>
  <c r="R41" i="10"/>
  <c r="O37" i="21" s="1"/>
  <c r="K33" i="10"/>
  <c r="H31" i="21" s="1"/>
  <c r="P41" i="10"/>
  <c r="M37" i="21" s="1"/>
  <c r="AC41" i="10"/>
  <c r="Z37" i="21" s="1"/>
  <c r="Z41" i="10"/>
  <c r="W37" i="21" s="1"/>
  <c r="Y41" i="10"/>
  <c r="V37" i="21" s="1"/>
  <c r="P37" i="10"/>
  <c r="M34" i="21" s="1"/>
  <c r="AC37" i="10"/>
  <c r="Z34" i="21" s="1"/>
  <c r="Z37" i="10"/>
  <c r="W34" i="21" s="1"/>
  <c r="Y37" i="10"/>
  <c r="V34" i="21" s="1"/>
  <c r="L33" i="10"/>
  <c r="I31" i="21" s="1"/>
  <c r="J33" i="10"/>
  <c r="G31" i="21" s="1"/>
  <c r="AD41" i="10"/>
  <c r="AA37" i="21" s="1"/>
  <c r="W41" i="10"/>
  <c r="T37" i="21" s="1"/>
  <c r="T41" i="10"/>
  <c r="Q37" i="21" s="1"/>
  <c r="S41" i="10"/>
  <c r="P37" i="21" s="1"/>
  <c r="AD37" i="10"/>
  <c r="AA34" i="21" s="1"/>
  <c r="W37" i="10"/>
  <c r="T34" i="21" s="1"/>
  <c r="T37" i="10"/>
  <c r="Q34" i="21" s="1"/>
  <c r="S37" i="10"/>
  <c r="P34" i="21" s="1"/>
  <c r="F33" i="10"/>
  <c r="N33" i="10" l="1"/>
  <c r="K31" i="21" s="1"/>
  <c r="M33" i="10"/>
  <c r="J31" i="21" s="1"/>
  <c r="F37" i="10"/>
  <c r="L37" i="10"/>
  <c r="I34" i="21" s="1"/>
  <c r="G37" i="10"/>
  <c r="H37" i="10"/>
  <c r="E34" i="21" s="1"/>
  <c r="H41" i="10"/>
  <c r="E37" i="21" s="1"/>
  <c r="J37" i="10"/>
  <c r="G34" i="21" s="1"/>
  <c r="I37" i="10"/>
  <c r="F34" i="21" s="1"/>
  <c r="I41" i="10"/>
  <c r="F37" i="21" s="1"/>
  <c r="K37" i="10"/>
  <c r="H34" i="21" s="1"/>
  <c r="D31" i="21" l="1"/>
  <c r="N41" i="10"/>
  <c r="K37" i="21" s="1"/>
  <c r="N37" i="10"/>
  <c r="K34" i="21" s="1"/>
  <c r="M41" i="10"/>
  <c r="J37" i="21" s="1"/>
  <c r="M37" i="10"/>
  <c r="J34" i="21" s="1"/>
  <c r="F41" i="10"/>
  <c r="K41" i="10"/>
  <c r="H37" i="21" s="1"/>
  <c r="G41" i="10"/>
  <c r="J41" i="10"/>
  <c r="G37" i="21" s="1"/>
  <c r="L41" i="10"/>
  <c r="I37" i="21" s="1"/>
  <c r="E33" i="10"/>
  <c r="D33" i="10" s="1"/>
  <c r="D34" i="21" l="1"/>
  <c r="D37" i="21"/>
  <c r="E37" i="10"/>
  <c r="D37" i="10" s="1"/>
  <c r="E41" i="10"/>
  <c r="D41" i="10" s="1"/>
  <c r="E7" i="13" l="1"/>
  <c r="F7" i="13"/>
  <c r="G7" i="13"/>
  <c r="H7" i="13"/>
  <c r="I7" i="13"/>
  <c r="J7" i="13"/>
  <c r="K7" i="13"/>
  <c r="L7" i="13"/>
  <c r="M7" i="13"/>
  <c r="N7" i="13"/>
  <c r="O7" i="13"/>
  <c r="P7" i="13"/>
  <c r="Q7" i="13"/>
  <c r="R7" i="13"/>
  <c r="S7" i="13"/>
  <c r="T7" i="13"/>
  <c r="U7" i="13"/>
  <c r="V7" i="13"/>
  <c r="W7" i="13"/>
  <c r="X7" i="13"/>
  <c r="Y7" i="13"/>
  <c r="Z7" i="13"/>
  <c r="AA7" i="13"/>
  <c r="AB7" i="13"/>
  <c r="AC7" i="13"/>
  <c r="AD7" i="13"/>
  <c r="AE7" i="13"/>
  <c r="D7" i="13"/>
  <c r="F119" i="13" l="1"/>
  <c r="F120" i="13" s="1"/>
  <c r="F123" i="13"/>
  <c r="AC119" i="13"/>
  <c r="AC120" i="13" l="1"/>
  <c r="AC123" i="13"/>
  <c r="AC127" i="13" s="1"/>
  <c r="AC128" i="13" l="1"/>
  <c r="AD10" i="19"/>
  <c r="AE6" i="13"/>
  <c r="AD6" i="13"/>
  <c r="AC6" i="13"/>
  <c r="AB6" i="13"/>
  <c r="AA6" i="13"/>
  <c r="Z6" i="13"/>
  <c r="Y6" i="13"/>
  <c r="X6" i="13"/>
  <c r="W6" i="13"/>
  <c r="V6" i="13"/>
  <c r="U6" i="13"/>
  <c r="T6" i="13"/>
  <c r="S6" i="13"/>
  <c r="R6" i="13"/>
  <c r="Q6" i="13"/>
  <c r="P6" i="13"/>
  <c r="O6" i="13"/>
  <c r="N6" i="13"/>
  <c r="M6" i="13"/>
  <c r="L6" i="13"/>
  <c r="K6" i="13"/>
  <c r="J6" i="13"/>
  <c r="I6" i="13"/>
  <c r="H6" i="13"/>
  <c r="G6" i="13"/>
  <c r="F6" i="13"/>
  <c r="E6" i="13"/>
  <c r="D6" i="13"/>
  <c r="A2" i="13"/>
  <c r="G11" i="13" l="1"/>
  <c r="AR25" i="13"/>
  <c r="AR51" i="13"/>
  <c r="AR75" i="13"/>
  <c r="AR103" i="13"/>
  <c r="AR60" i="13"/>
  <c r="AR61" i="13"/>
  <c r="AR113" i="13"/>
  <c r="AR90" i="13"/>
  <c r="AR64" i="13"/>
  <c r="AR16" i="13"/>
  <c r="AR95" i="13"/>
  <c r="AR70" i="13"/>
  <c r="AR47" i="13"/>
  <c r="AR73" i="13"/>
  <c r="AR24" i="13"/>
  <c r="AR26" i="13"/>
  <c r="AR52" i="13"/>
  <c r="AR82" i="13"/>
  <c r="AR105" i="13"/>
  <c r="AR29" i="13"/>
  <c r="AR84" i="13"/>
  <c r="AR107" i="13"/>
  <c r="AR85" i="13"/>
  <c r="AR88" i="13"/>
  <c r="AR12" i="13"/>
  <c r="AR63" i="13"/>
  <c r="AR14" i="13"/>
  <c r="AR40" i="13"/>
  <c r="AR69" i="13"/>
  <c r="AR46" i="13"/>
  <c r="AR100" i="13"/>
  <c r="AR102" i="13"/>
  <c r="AR28" i="13"/>
  <c r="AR53" i="13"/>
  <c r="AR83" i="13"/>
  <c r="AR106" i="13"/>
  <c r="AR30" i="13"/>
  <c r="AR108" i="13"/>
  <c r="AR34" i="13"/>
  <c r="AR87" i="13"/>
  <c r="AR11" i="13"/>
  <c r="AR112" i="13"/>
  <c r="AR36" i="13"/>
  <c r="AR38" i="13"/>
  <c r="AR39" i="13"/>
  <c r="AR94" i="13"/>
  <c r="AR17" i="13"/>
  <c r="AR18" i="13"/>
  <c r="AR71" i="13"/>
  <c r="AR48" i="13"/>
  <c r="AR74" i="13"/>
  <c r="AR54" i="13"/>
  <c r="AR59" i="13"/>
  <c r="AR35" i="13"/>
  <c r="AR89" i="13"/>
  <c r="AR13" i="13"/>
  <c r="AR65" i="13"/>
  <c r="AR19" i="13"/>
  <c r="AR101" i="13"/>
  <c r="AR49" i="13"/>
  <c r="AR56" i="13"/>
  <c r="AR92" i="13"/>
  <c r="AR110" i="13"/>
  <c r="AR43" i="13"/>
  <c r="AR21" i="13"/>
  <c r="AQ115" i="13"/>
  <c r="AP113" i="13"/>
  <c r="Y113" i="13"/>
  <c r="I113" i="13"/>
  <c r="AE112" i="13"/>
  <c r="N112" i="13"/>
  <c r="AQ69" i="13"/>
  <c r="AE95" i="13"/>
  <c r="N95" i="13"/>
  <c r="AJ94" i="13"/>
  <c r="S94" i="13"/>
  <c r="D100" i="13"/>
  <c r="AO112" i="13"/>
  <c r="H95" i="13"/>
  <c r="AN95" i="13"/>
  <c r="E112" i="13"/>
  <c r="Z94" i="13"/>
  <c r="S95" i="13"/>
  <c r="AM94" i="13"/>
  <c r="AO113" i="13"/>
  <c r="X113" i="13"/>
  <c r="H113" i="13"/>
  <c r="AD112" i="13"/>
  <c r="M112" i="13"/>
  <c r="AQ70" i="13"/>
  <c r="AD95" i="13"/>
  <c r="M95" i="13"/>
  <c r="AI94" i="13"/>
  <c r="R94" i="13"/>
  <c r="D101" i="13"/>
  <c r="X112" i="13"/>
  <c r="G95" i="13"/>
  <c r="E95" i="13"/>
  <c r="AJ95" i="13"/>
  <c r="AN113" i="13"/>
  <c r="W113" i="13"/>
  <c r="G113" i="13"/>
  <c r="AB112" i="13"/>
  <c r="L112" i="13"/>
  <c r="AQ71" i="13"/>
  <c r="AB95" i="13"/>
  <c r="L95" i="13"/>
  <c r="AH94" i="13"/>
  <c r="Q94" i="13"/>
  <c r="D102" i="13"/>
  <c r="H112" i="13"/>
  <c r="M94" i="13"/>
  <c r="R113" i="13"/>
  <c r="W95" i="13"/>
  <c r="V95" i="13"/>
  <c r="J94" i="13"/>
  <c r="H94" i="13"/>
  <c r="AM113" i="13"/>
  <c r="V113" i="13"/>
  <c r="E113" i="13"/>
  <c r="AA112" i="13"/>
  <c r="K112" i="13"/>
  <c r="AQ73" i="13"/>
  <c r="AA95" i="13"/>
  <c r="K95" i="13"/>
  <c r="AG94" i="13"/>
  <c r="P94" i="13"/>
  <c r="J95" i="13"/>
  <c r="AJ113" i="13"/>
  <c r="AD94" i="13"/>
  <c r="D95" i="13"/>
  <c r="U94" i="13"/>
  <c r="AL113" i="13"/>
  <c r="U113" i="13"/>
  <c r="D113" i="13"/>
  <c r="Z112" i="13"/>
  <c r="J112" i="13"/>
  <c r="AQ74" i="13"/>
  <c r="Z95" i="13"/>
  <c r="AF94" i="13"/>
  <c r="O94" i="13"/>
  <c r="AO95" i="13"/>
  <c r="AB94" i="13"/>
  <c r="K94" i="13"/>
  <c r="X94" i="13"/>
  <c r="V94" i="13"/>
  <c r="AK113" i="13"/>
  <c r="T113" i="13"/>
  <c r="AP112" i="13"/>
  <c r="Y112" i="13"/>
  <c r="I112" i="13"/>
  <c r="AQ75" i="13"/>
  <c r="AP95" i="13"/>
  <c r="Y95" i="13"/>
  <c r="I95" i="13"/>
  <c r="AE94" i="13"/>
  <c r="N94" i="13"/>
  <c r="X95" i="13"/>
  <c r="W112" i="13"/>
  <c r="AA94" i="13"/>
  <c r="U95" i="13"/>
  <c r="S113" i="13"/>
  <c r="AM95" i="13"/>
  <c r="D94" i="13"/>
  <c r="AI113" i="13"/>
  <c r="AN112" i="13"/>
  <c r="G112" i="13"/>
  <c r="L94" i="13"/>
  <c r="I94" i="13"/>
  <c r="AH113" i="13"/>
  <c r="Q113" i="13"/>
  <c r="AM112" i="13"/>
  <c r="V112" i="13"/>
  <c r="E94" i="13"/>
  <c r="AG113" i="13"/>
  <c r="P113" i="13"/>
  <c r="AL112" i="13"/>
  <c r="U112" i="13"/>
  <c r="D112" i="13"/>
  <c r="AL95" i="13"/>
  <c r="AF113" i="13"/>
  <c r="O113" i="13"/>
  <c r="AK112" i="13"/>
  <c r="T112" i="13"/>
  <c r="AQ59" i="13"/>
  <c r="AK95" i="13"/>
  <c r="T95" i="13"/>
  <c r="AP94" i="13"/>
  <c r="Y94" i="13"/>
  <c r="AE113" i="13"/>
  <c r="N113" i="13"/>
  <c r="AJ112" i="13"/>
  <c r="S112" i="13"/>
  <c r="AQ60" i="13"/>
  <c r="AO94" i="13"/>
  <c r="AD113" i="13"/>
  <c r="M113" i="13"/>
  <c r="AI112" i="13"/>
  <c r="R112" i="13"/>
  <c r="AQ61" i="13"/>
  <c r="AI95" i="13"/>
  <c r="R95" i="13"/>
  <c r="AN94" i="13"/>
  <c r="W94" i="13"/>
  <c r="G94" i="13"/>
  <c r="AB113" i="13"/>
  <c r="L113" i="13"/>
  <c r="AH112" i="13"/>
  <c r="Q112" i="13"/>
  <c r="AQ63" i="13"/>
  <c r="AH95" i="13"/>
  <c r="Q95" i="13"/>
  <c r="AA113" i="13"/>
  <c r="K113" i="13"/>
  <c r="AG112" i="13"/>
  <c r="P112" i="13"/>
  <c r="AQ64" i="13"/>
  <c r="AG95" i="13"/>
  <c r="P95" i="13"/>
  <c r="AL94" i="13"/>
  <c r="AL97" i="13" s="1"/>
  <c r="Z113" i="13"/>
  <c r="J113" i="13"/>
  <c r="AF112" i="13"/>
  <c r="O112" i="13"/>
  <c r="AQ65" i="13"/>
  <c r="AF95" i="13"/>
  <c r="O95" i="13"/>
  <c r="AK94" i="13"/>
  <c r="T94" i="13"/>
  <c r="AQ97" i="13"/>
  <c r="AG75" i="13"/>
  <c r="P75" i="13"/>
  <c r="AL74" i="13"/>
  <c r="U74" i="13"/>
  <c r="D74" i="13"/>
  <c r="Z73" i="13"/>
  <c r="J73" i="13"/>
  <c r="AF71" i="13"/>
  <c r="O71" i="13"/>
  <c r="AK70" i="13"/>
  <c r="T70" i="13"/>
  <c r="AP69" i="13"/>
  <c r="Y69" i="13"/>
  <c r="I69" i="13"/>
  <c r="AL65" i="13"/>
  <c r="U65" i="13"/>
  <c r="D65" i="13"/>
  <c r="Z64" i="13"/>
  <c r="J64" i="13"/>
  <c r="AF63" i="13"/>
  <c r="O63" i="13"/>
  <c r="AK61" i="13"/>
  <c r="T61" i="13"/>
  <c r="AP60" i="13"/>
  <c r="Y60" i="13"/>
  <c r="I60" i="13"/>
  <c r="AE59" i="13"/>
  <c r="N59" i="13"/>
  <c r="AM69" i="13"/>
  <c r="AI65" i="13"/>
  <c r="AN64" i="13"/>
  <c r="G64" i="13"/>
  <c r="L63" i="13"/>
  <c r="Q61" i="13"/>
  <c r="V60" i="13"/>
  <c r="K59" i="13"/>
  <c r="V73" i="13"/>
  <c r="AH65" i="13"/>
  <c r="E64" i="13"/>
  <c r="AL60" i="13"/>
  <c r="O74" i="13"/>
  <c r="S60" i="13"/>
  <c r="H63" i="13"/>
  <c r="W71" i="13"/>
  <c r="W63" i="13"/>
  <c r="E59" i="13"/>
  <c r="E63" i="13"/>
  <c r="P64" i="13"/>
  <c r="S63" i="13"/>
  <c r="O59" i="13"/>
  <c r="AF75" i="13"/>
  <c r="O75" i="13"/>
  <c r="AK74" i="13"/>
  <c r="T74" i="13"/>
  <c r="AP73" i="13"/>
  <c r="Y73" i="13"/>
  <c r="I73" i="13"/>
  <c r="AE71" i="13"/>
  <c r="N71" i="13"/>
  <c r="AJ70" i="13"/>
  <c r="S70" i="13"/>
  <c r="AO69" i="13"/>
  <c r="X69" i="13"/>
  <c r="H69" i="13"/>
  <c r="AK65" i="13"/>
  <c r="T65" i="13"/>
  <c r="AP64" i="13"/>
  <c r="Y64" i="13"/>
  <c r="I64" i="13"/>
  <c r="AE63" i="13"/>
  <c r="N63" i="13"/>
  <c r="AJ61" i="13"/>
  <c r="S61" i="13"/>
  <c r="AO60" i="13"/>
  <c r="X60" i="13"/>
  <c r="H60" i="13"/>
  <c r="AD59" i="13"/>
  <c r="M59" i="13"/>
  <c r="AA59" i="13"/>
  <c r="P70" i="13"/>
  <c r="V64" i="13"/>
  <c r="P61" i="13"/>
  <c r="Z59" i="13"/>
  <c r="Y71" i="13"/>
  <c r="T64" i="13"/>
  <c r="AJ60" i="13"/>
  <c r="AI60" i="13"/>
  <c r="G63" i="13"/>
  <c r="AG60" i="13"/>
  <c r="J61" i="13"/>
  <c r="AJ59" i="13"/>
  <c r="H61" i="13"/>
  <c r="R59" i="13"/>
  <c r="Q59" i="13"/>
  <c r="AE75" i="13"/>
  <c r="N75" i="13"/>
  <c r="AJ74" i="13"/>
  <c r="S74" i="13"/>
  <c r="AO73" i="13"/>
  <c r="X73" i="13"/>
  <c r="H73" i="13"/>
  <c r="AD71" i="13"/>
  <c r="M71" i="13"/>
  <c r="AI70" i="13"/>
  <c r="R70" i="13"/>
  <c r="AN69" i="13"/>
  <c r="W69" i="13"/>
  <c r="G69" i="13"/>
  <c r="AJ65" i="13"/>
  <c r="S65" i="13"/>
  <c r="AO64" i="13"/>
  <c r="X64" i="13"/>
  <c r="H64" i="13"/>
  <c r="AD63" i="13"/>
  <c r="M63" i="13"/>
  <c r="AI61" i="13"/>
  <c r="R61" i="13"/>
  <c r="AN60" i="13"/>
  <c r="W60" i="13"/>
  <c r="G60" i="13"/>
  <c r="AB59" i="13"/>
  <c r="L59" i="13"/>
  <c r="V69" i="13"/>
  <c r="R65" i="13"/>
  <c r="W64" i="13"/>
  <c r="AB63" i="13"/>
  <c r="AH61" i="13"/>
  <c r="E60" i="13"/>
  <c r="K71" i="13"/>
  <c r="Q65" i="13"/>
  <c r="AA63" i="13"/>
  <c r="U60" i="13"/>
  <c r="AP71" i="13"/>
  <c r="S69" i="13"/>
  <c r="O65" i="13"/>
  <c r="Y63" i="13"/>
  <c r="AE61" i="13"/>
  <c r="H59" i="13"/>
  <c r="AD61" i="13"/>
  <c r="W59" i="13"/>
  <c r="AN71" i="13"/>
  <c r="AB61" i="13"/>
  <c r="D59" i="13"/>
  <c r="K65" i="13"/>
  <c r="L60" i="13"/>
  <c r="AD75" i="13"/>
  <c r="M75" i="13"/>
  <c r="AI74" i="13"/>
  <c r="R74" i="13"/>
  <c r="AN73" i="13"/>
  <c r="W73" i="13"/>
  <c r="G73" i="13"/>
  <c r="AB71" i="13"/>
  <c r="L71" i="13"/>
  <c r="AH70" i="13"/>
  <c r="Q70" i="13"/>
  <c r="E69" i="13"/>
  <c r="AM60" i="13"/>
  <c r="AG61" i="13"/>
  <c r="J59" i="13"/>
  <c r="AF74" i="13"/>
  <c r="AF65" i="13"/>
  <c r="N61" i="13"/>
  <c r="AH60" i="13"/>
  <c r="Q64" i="13"/>
  <c r="T59" i="13"/>
  <c r="N60" i="13"/>
  <c r="AD60" i="13"/>
  <c r="AB75" i="13"/>
  <c r="L75" i="13"/>
  <c r="AH74" i="13"/>
  <c r="Q74" i="13"/>
  <c r="AM73" i="13"/>
  <c r="E73" i="13"/>
  <c r="AA71" i="13"/>
  <c r="AG70" i="13"/>
  <c r="AL69" i="13"/>
  <c r="U69" i="13"/>
  <c r="D69" i="13"/>
  <c r="AM64" i="13"/>
  <c r="K63" i="13"/>
  <c r="D60" i="13"/>
  <c r="AK73" i="13"/>
  <c r="I63" i="13"/>
  <c r="AO63" i="13"/>
  <c r="AN59" i="13"/>
  <c r="AB70" i="13"/>
  <c r="AI64" i="13"/>
  <c r="AM59" i="13"/>
  <c r="AM63" i="13"/>
  <c r="U59" i="13"/>
  <c r="D63" i="13"/>
  <c r="AA75" i="13"/>
  <c r="K75" i="13"/>
  <c r="AG74" i="13"/>
  <c r="P74" i="13"/>
  <c r="AL73" i="13"/>
  <c r="U73" i="13"/>
  <c r="D73" i="13"/>
  <c r="Z71" i="13"/>
  <c r="J71" i="13"/>
  <c r="AF70" i="13"/>
  <c r="O70" i="13"/>
  <c r="AK69" i="13"/>
  <c r="T69" i="13"/>
  <c r="AG65" i="13"/>
  <c r="P65" i="13"/>
  <c r="AL64" i="13"/>
  <c r="U64" i="13"/>
  <c r="D64" i="13"/>
  <c r="Z63" i="13"/>
  <c r="J63" i="13"/>
  <c r="AF61" i="13"/>
  <c r="O61" i="13"/>
  <c r="AK60" i="13"/>
  <c r="T60" i="13"/>
  <c r="AP59" i="13"/>
  <c r="Y59" i="13"/>
  <c r="I59" i="13"/>
  <c r="I71" i="13"/>
  <c r="AK64" i="13"/>
  <c r="AO59" i="13"/>
  <c r="R60" i="13"/>
  <c r="Q69" i="13"/>
  <c r="L61" i="13"/>
  <c r="P60" i="13"/>
  <c r="AE60" i="13"/>
  <c r="E61" i="13"/>
  <c r="Z75" i="13"/>
  <c r="J75" i="13"/>
  <c r="T73" i="13"/>
  <c r="AE70" i="13"/>
  <c r="N70" i="13"/>
  <c r="AJ69" i="13"/>
  <c r="AP63" i="13"/>
  <c r="X59" i="13"/>
  <c r="AD65" i="13"/>
  <c r="K61" i="13"/>
  <c r="O60" i="13"/>
  <c r="AO61" i="13"/>
  <c r="AG59" i="13"/>
  <c r="AP75" i="13"/>
  <c r="Y75" i="13"/>
  <c r="I75" i="13"/>
  <c r="AE74" i="13"/>
  <c r="N74" i="13"/>
  <c r="AJ73" i="13"/>
  <c r="S73" i="13"/>
  <c r="AO71" i="13"/>
  <c r="X71" i="13"/>
  <c r="H71" i="13"/>
  <c r="AD70" i="13"/>
  <c r="M70" i="13"/>
  <c r="AI69" i="13"/>
  <c r="R69" i="13"/>
  <c r="AE65" i="13"/>
  <c r="N65" i="13"/>
  <c r="AJ64" i="13"/>
  <c r="S64" i="13"/>
  <c r="X63" i="13"/>
  <c r="M61" i="13"/>
  <c r="G59" i="13"/>
  <c r="L70" i="13"/>
  <c r="R64" i="13"/>
  <c r="V59" i="13"/>
  <c r="AA61" i="13"/>
  <c r="U63" i="13"/>
  <c r="P59" i="13"/>
  <c r="AO75" i="13"/>
  <c r="X75" i="13"/>
  <c r="H75" i="13"/>
  <c r="AD74" i="13"/>
  <c r="M74" i="13"/>
  <c r="AI73" i="13"/>
  <c r="R73" i="13"/>
  <c r="G71" i="13"/>
  <c r="AH69" i="13"/>
  <c r="M65" i="13"/>
  <c r="AN63" i="13"/>
  <c r="Q60" i="13"/>
  <c r="AF60" i="13"/>
  <c r="S59" i="13"/>
  <c r="K60" i="13"/>
  <c r="AN75" i="13"/>
  <c r="W75" i="13"/>
  <c r="G75" i="13"/>
  <c r="AB74" i="13"/>
  <c r="L74" i="13"/>
  <c r="AH73" i="13"/>
  <c r="Q73" i="13"/>
  <c r="AM71" i="13"/>
  <c r="V71" i="13"/>
  <c r="E71" i="13"/>
  <c r="AA70" i="13"/>
  <c r="K70" i="13"/>
  <c r="AG69" i="13"/>
  <c r="P69" i="13"/>
  <c r="AB65" i="13"/>
  <c r="L65" i="13"/>
  <c r="AH64" i="13"/>
  <c r="V63" i="13"/>
  <c r="AL59" i="13"/>
  <c r="Z61" i="13"/>
  <c r="AM75" i="13"/>
  <c r="V75" i="13"/>
  <c r="E75" i="13"/>
  <c r="AA74" i="13"/>
  <c r="K74" i="13"/>
  <c r="AG73" i="13"/>
  <c r="P73" i="13"/>
  <c r="AL71" i="13"/>
  <c r="U71" i="13"/>
  <c r="D71" i="13"/>
  <c r="Z70" i="13"/>
  <c r="J70" i="13"/>
  <c r="AF69" i="13"/>
  <c r="O69" i="13"/>
  <c r="AA65" i="13"/>
  <c r="AG64" i="13"/>
  <c r="AL63" i="13"/>
  <c r="AK59" i="13"/>
  <c r="M60" i="13"/>
  <c r="AL75" i="13"/>
  <c r="U75" i="13"/>
  <c r="D75" i="13"/>
  <c r="Z74" i="13"/>
  <c r="J74" i="13"/>
  <c r="AF73" i="13"/>
  <c r="O73" i="13"/>
  <c r="AK71" i="13"/>
  <c r="T71" i="13"/>
  <c r="AP70" i="13"/>
  <c r="Y70" i="13"/>
  <c r="I70" i="13"/>
  <c r="AE69" i="13"/>
  <c r="N69" i="13"/>
  <c r="Z65" i="13"/>
  <c r="J65" i="13"/>
  <c r="AF64" i="13"/>
  <c r="O64" i="13"/>
  <c r="AK63" i="13"/>
  <c r="T63" i="13"/>
  <c r="AP61" i="13"/>
  <c r="Y61" i="13"/>
  <c r="I61" i="13"/>
  <c r="AK75" i="13"/>
  <c r="T75" i="13"/>
  <c r="AP74" i="13"/>
  <c r="Y74" i="13"/>
  <c r="I74" i="13"/>
  <c r="AE73" i="13"/>
  <c r="N73" i="13"/>
  <c r="AJ71" i="13"/>
  <c r="S71" i="13"/>
  <c r="AO70" i="13"/>
  <c r="X70" i="13"/>
  <c r="H70" i="13"/>
  <c r="AD69" i="13"/>
  <c r="M69" i="13"/>
  <c r="AP65" i="13"/>
  <c r="Y65" i="13"/>
  <c r="I65" i="13"/>
  <c r="AE64" i="13"/>
  <c r="N64" i="13"/>
  <c r="AJ63" i="13"/>
  <c r="X61" i="13"/>
  <c r="AI59" i="13"/>
  <c r="AJ75" i="13"/>
  <c r="S75" i="13"/>
  <c r="AO74" i="13"/>
  <c r="X74" i="13"/>
  <c r="H74" i="13"/>
  <c r="AD73" i="13"/>
  <c r="M73" i="13"/>
  <c r="AI71" i="13"/>
  <c r="R71" i="13"/>
  <c r="AN70" i="13"/>
  <c r="W70" i="13"/>
  <c r="G70" i="13"/>
  <c r="AB69" i="13"/>
  <c r="L69" i="13"/>
  <c r="AO65" i="13"/>
  <c r="X65" i="13"/>
  <c r="H65" i="13"/>
  <c r="AD64" i="13"/>
  <c r="M64" i="13"/>
  <c r="AI63" i="13"/>
  <c r="R63" i="13"/>
  <c r="AN61" i="13"/>
  <c r="W61" i="13"/>
  <c r="G61" i="13"/>
  <c r="AB60" i="13"/>
  <c r="AH59" i="13"/>
  <c r="AI75" i="13"/>
  <c r="R75" i="13"/>
  <c r="AN74" i="13"/>
  <c r="W74" i="13"/>
  <c r="G74" i="13"/>
  <c r="AB73" i="13"/>
  <c r="L73" i="13"/>
  <c r="AH71" i="13"/>
  <c r="Q71" i="13"/>
  <c r="AM70" i="13"/>
  <c r="V70" i="13"/>
  <c r="E70" i="13"/>
  <c r="AA69" i="13"/>
  <c r="K69" i="13"/>
  <c r="AN65" i="13"/>
  <c r="W65" i="13"/>
  <c r="G65" i="13"/>
  <c r="AB64" i="13"/>
  <c r="L64" i="13"/>
  <c r="AH63" i="13"/>
  <c r="Q63" i="13"/>
  <c r="AM61" i="13"/>
  <c r="V61" i="13"/>
  <c r="AA60" i="13"/>
  <c r="AH75" i="13"/>
  <c r="Q75" i="13"/>
  <c r="AM74" i="13"/>
  <c r="V74" i="13"/>
  <c r="E74" i="13"/>
  <c r="AA73" i="13"/>
  <c r="K73" i="13"/>
  <c r="AG71" i="13"/>
  <c r="P71" i="13"/>
  <c r="AL70" i="13"/>
  <c r="U70" i="13"/>
  <c r="D70" i="13"/>
  <c r="Z69" i="13"/>
  <c r="J69" i="13"/>
  <c r="AM65" i="13"/>
  <c r="V65" i="13"/>
  <c r="E65" i="13"/>
  <c r="AA64" i="13"/>
  <c r="K64" i="13"/>
  <c r="AG63" i="13"/>
  <c r="P63" i="13"/>
  <c r="AL61" i="13"/>
  <c r="U61" i="13"/>
  <c r="D61" i="13"/>
  <c r="Z60" i="13"/>
  <c r="J60" i="13"/>
  <c r="AF59" i="13"/>
  <c r="AH40" i="13"/>
  <c r="Q40" i="13"/>
  <c r="AO39" i="13"/>
  <c r="X39" i="13"/>
  <c r="H39" i="13"/>
  <c r="AF38" i="13"/>
  <c r="O38" i="13"/>
  <c r="AD36" i="13"/>
  <c r="M36" i="13"/>
  <c r="AK35" i="13"/>
  <c r="T35" i="13"/>
  <c r="AA34" i="13"/>
  <c r="K34" i="13"/>
  <c r="AG40" i="13"/>
  <c r="P40" i="13"/>
  <c r="AN39" i="13"/>
  <c r="W39" i="13"/>
  <c r="G39" i="13"/>
  <c r="AE38" i="13"/>
  <c r="N38" i="13"/>
  <c r="AB36" i="13"/>
  <c r="L36" i="13"/>
  <c r="AJ35" i="13"/>
  <c r="S35" i="13"/>
  <c r="AQ34" i="13"/>
  <c r="Z34" i="13"/>
  <c r="J34" i="13"/>
  <c r="AF40" i="13"/>
  <c r="O40" i="13"/>
  <c r="AM39" i="13"/>
  <c r="V39" i="13"/>
  <c r="E39" i="13"/>
  <c r="AD38" i="13"/>
  <c r="M38" i="13"/>
  <c r="AA36" i="13"/>
  <c r="K36" i="13"/>
  <c r="AI35" i="13"/>
  <c r="R35" i="13"/>
  <c r="AP34" i="13"/>
  <c r="Y34" i="13"/>
  <c r="I34" i="13"/>
  <c r="AE40" i="13"/>
  <c r="N40" i="13"/>
  <c r="AL39" i="13"/>
  <c r="U39" i="13"/>
  <c r="D39" i="13"/>
  <c r="AB38" i="13"/>
  <c r="L38" i="13"/>
  <c r="AQ36" i="13"/>
  <c r="Z36" i="13"/>
  <c r="J36" i="13"/>
  <c r="AH35" i="13"/>
  <c r="Q35" i="13"/>
  <c r="AO34" i="13"/>
  <c r="X34" i="13"/>
  <c r="H34" i="13"/>
  <c r="AD40" i="13"/>
  <c r="M40" i="13"/>
  <c r="AK39" i="13"/>
  <c r="T39" i="13"/>
  <c r="AA38" i="13"/>
  <c r="K38" i="13"/>
  <c r="AP36" i="13"/>
  <c r="Y36" i="13"/>
  <c r="I36" i="13"/>
  <c r="AG35" i="13"/>
  <c r="P35" i="13"/>
  <c r="AN34" i="13"/>
  <c r="W34" i="13"/>
  <c r="G34" i="13"/>
  <c r="AB40" i="13"/>
  <c r="L40" i="13"/>
  <c r="AJ39" i="13"/>
  <c r="S39" i="13"/>
  <c r="AQ38" i="13"/>
  <c r="Z38" i="13"/>
  <c r="J38" i="13"/>
  <c r="AO36" i="13"/>
  <c r="X36" i="13"/>
  <c r="H36" i="13"/>
  <c r="AF35" i="13"/>
  <c r="O35" i="13"/>
  <c r="AM34" i="13"/>
  <c r="V34" i="13"/>
  <c r="E34" i="13"/>
  <c r="AA40" i="13"/>
  <c r="K40" i="13"/>
  <c r="AI39" i="13"/>
  <c r="R39" i="13"/>
  <c r="AP38" i="13"/>
  <c r="Y38" i="13"/>
  <c r="I38" i="13"/>
  <c r="AN36" i="13"/>
  <c r="W36" i="13"/>
  <c r="G36" i="13"/>
  <c r="AE35" i="13"/>
  <c r="N35" i="13"/>
  <c r="AL34" i="13"/>
  <c r="U34" i="13"/>
  <c r="D34" i="13"/>
  <c r="AQ40" i="13"/>
  <c r="Z40" i="13"/>
  <c r="J40" i="13"/>
  <c r="AH39" i="13"/>
  <c r="Q39" i="13"/>
  <c r="AO38" i="13"/>
  <c r="X38" i="13"/>
  <c r="H38" i="13"/>
  <c r="AM36" i="13"/>
  <c r="V36" i="13"/>
  <c r="E36" i="13"/>
  <c r="AD35" i="13"/>
  <c r="M35" i="13"/>
  <c r="AK34" i="13"/>
  <c r="T34" i="13"/>
  <c r="AP40" i="13"/>
  <c r="Y40" i="13"/>
  <c r="I40" i="13"/>
  <c r="AG39" i="13"/>
  <c r="P39" i="13"/>
  <c r="AN38" i="13"/>
  <c r="W38" i="13"/>
  <c r="G38" i="13"/>
  <c r="AL36" i="13"/>
  <c r="U36" i="13"/>
  <c r="D36" i="13"/>
  <c r="AB35" i="13"/>
  <c r="L35" i="13"/>
  <c r="AJ34" i="13"/>
  <c r="S34" i="13"/>
  <c r="AO40" i="13"/>
  <c r="X40" i="13"/>
  <c r="H40" i="13"/>
  <c r="AF39" i="13"/>
  <c r="O39" i="13"/>
  <c r="AM38" i="13"/>
  <c r="V38" i="13"/>
  <c r="E38" i="13"/>
  <c r="AK36" i="13"/>
  <c r="T36" i="13"/>
  <c r="AA35" i="13"/>
  <c r="K35" i="13"/>
  <c r="AI34" i="13"/>
  <c r="R34" i="13"/>
  <c r="AN40" i="13"/>
  <c r="W40" i="13"/>
  <c r="G40" i="13"/>
  <c r="AE39" i="13"/>
  <c r="N39" i="13"/>
  <c r="AL38" i="13"/>
  <c r="U38" i="13"/>
  <c r="D38" i="13"/>
  <c r="AJ36" i="13"/>
  <c r="S36" i="13"/>
  <c r="AQ35" i="13"/>
  <c r="Z35" i="13"/>
  <c r="J35" i="13"/>
  <c r="AH34" i="13"/>
  <c r="Q34" i="13"/>
  <c r="AM40" i="13"/>
  <c r="V40" i="13"/>
  <c r="E40" i="13"/>
  <c r="AD39" i="13"/>
  <c r="M39" i="13"/>
  <c r="AK38" i="13"/>
  <c r="T38" i="13"/>
  <c r="AI36" i="13"/>
  <c r="R36" i="13"/>
  <c r="AP35" i="13"/>
  <c r="Y35" i="13"/>
  <c r="I35" i="13"/>
  <c r="AG34" i="13"/>
  <c r="P34" i="13"/>
  <c r="AL40" i="13"/>
  <c r="U40" i="13"/>
  <c r="D40" i="13"/>
  <c r="AB39" i="13"/>
  <c r="L39" i="13"/>
  <c r="AJ38" i="13"/>
  <c r="S38" i="13"/>
  <c r="AH36" i="13"/>
  <c r="Q36" i="13"/>
  <c r="AO35" i="13"/>
  <c r="X35" i="13"/>
  <c r="H35" i="13"/>
  <c r="AF34" i="13"/>
  <c r="O34" i="13"/>
  <c r="AK40" i="13"/>
  <c r="T40" i="13"/>
  <c r="AA39" i="13"/>
  <c r="K39" i="13"/>
  <c r="AI38" i="13"/>
  <c r="R38" i="13"/>
  <c r="AG36" i="13"/>
  <c r="P36" i="13"/>
  <c r="AN35" i="13"/>
  <c r="W35" i="13"/>
  <c r="G35" i="13"/>
  <c r="AE34" i="13"/>
  <c r="N34" i="13"/>
  <c r="AJ40" i="13"/>
  <c r="S40" i="13"/>
  <c r="AQ39" i="13"/>
  <c r="Z39" i="13"/>
  <c r="J39" i="13"/>
  <c r="AH38" i="13"/>
  <c r="Q38" i="13"/>
  <c r="AF36" i="13"/>
  <c r="O36" i="13"/>
  <c r="AM35" i="13"/>
  <c r="V35" i="13"/>
  <c r="E35" i="13"/>
  <c r="AD34" i="13"/>
  <c r="M34" i="13"/>
  <c r="AI40" i="13"/>
  <c r="R40" i="13"/>
  <c r="AP39" i="13"/>
  <c r="Y39" i="13"/>
  <c r="I39" i="13"/>
  <c r="AG38" i="13"/>
  <c r="P38" i="13"/>
  <c r="AE36" i="13"/>
  <c r="N36" i="13"/>
  <c r="AL35" i="13"/>
  <c r="U35" i="13"/>
  <c r="D35" i="13"/>
  <c r="AB34" i="13"/>
  <c r="L34" i="13"/>
  <c r="AP108" i="13"/>
  <c r="Y108" i="13"/>
  <c r="I108" i="13"/>
  <c r="AF107" i="13"/>
  <c r="O107" i="13"/>
  <c r="AL106" i="13"/>
  <c r="U106" i="13"/>
  <c r="D106" i="13"/>
  <c r="AA105" i="13"/>
  <c r="K105" i="13"/>
  <c r="AH103" i="13"/>
  <c r="Q103" i="13"/>
  <c r="AN102" i="13"/>
  <c r="W102" i="13"/>
  <c r="G102" i="13"/>
  <c r="AD101" i="13"/>
  <c r="M101" i="13"/>
  <c r="AJ100" i="13"/>
  <c r="S100" i="13"/>
  <c r="AJ90" i="13"/>
  <c r="S90" i="13"/>
  <c r="AP89" i="13"/>
  <c r="Y89" i="13"/>
  <c r="I89" i="13"/>
  <c r="AF88" i="13"/>
  <c r="O88" i="13"/>
  <c r="AL87" i="13"/>
  <c r="U87" i="13"/>
  <c r="D87" i="13"/>
  <c r="AA85" i="13"/>
  <c r="K85" i="13"/>
  <c r="AH84" i="13"/>
  <c r="Q84" i="13"/>
  <c r="AN83" i="13"/>
  <c r="W83" i="13"/>
  <c r="G83" i="13"/>
  <c r="AD82" i="13"/>
  <c r="M82" i="13"/>
  <c r="AO108" i="13"/>
  <c r="X108" i="13"/>
  <c r="H108" i="13"/>
  <c r="AE107" i="13"/>
  <c r="N107" i="13"/>
  <c r="AK106" i="13"/>
  <c r="T106" i="13"/>
  <c r="AQ105" i="13"/>
  <c r="Z105" i="13"/>
  <c r="J105" i="13"/>
  <c r="AG103" i="13"/>
  <c r="P103" i="13"/>
  <c r="AM102" i="13"/>
  <c r="V102" i="13"/>
  <c r="E102" i="13"/>
  <c r="AB101" i="13"/>
  <c r="L101" i="13"/>
  <c r="AI100" i="13"/>
  <c r="R100" i="13"/>
  <c r="AI90" i="13"/>
  <c r="R90" i="13"/>
  <c r="AO89" i="13"/>
  <c r="X89" i="13"/>
  <c r="H89" i="13"/>
  <c r="AE88" i="13"/>
  <c r="N88" i="13"/>
  <c r="AK87" i="13"/>
  <c r="T87" i="13"/>
  <c r="AQ85" i="13"/>
  <c r="Z85" i="13"/>
  <c r="J85" i="13"/>
  <c r="AG84" i="13"/>
  <c r="P84" i="13"/>
  <c r="AM83" i="13"/>
  <c r="V83" i="13"/>
  <c r="E83" i="13"/>
  <c r="AB82" i="13"/>
  <c r="L82" i="13"/>
  <c r="AN108" i="13"/>
  <c r="W108" i="13"/>
  <c r="G108" i="13"/>
  <c r="AD107" i="13"/>
  <c r="M107" i="13"/>
  <c r="AJ106" i="13"/>
  <c r="S106" i="13"/>
  <c r="AP105" i="13"/>
  <c r="Y105" i="13"/>
  <c r="I105" i="13"/>
  <c r="AF103" i="13"/>
  <c r="O103" i="13"/>
  <c r="AL102" i="13"/>
  <c r="U102" i="13"/>
  <c r="AA101" i="13"/>
  <c r="K101" i="13"/>
  <c r="AH100" i="13"/>
  <c r="Q100" i="13"/>
  <c r="AM108" i="13"/>
  <c r="V108" i="13"/>
  <c r="E108" i="13"/>
  <c r="AB107" i="13"/>
  <c r="L107" i="13"/>
  <c r="AI106" i="13"/>
  <c r="R106" i="13"/>
  <c r="AO105" i="13"/>
  <c r="X105" i="13"/>
  <c r="H105" i="13"/>
  <c r="AE103" i="13"/>
  <c r="N103" i="13"/>
  <c r="AK102" i="13"/>
  <c r="T102" i="13"/>
  <c r="AQ101" i="13"/>
  <c r="Z101" i="13"/>
  <c r="J101" i="13"/>
  <c r="AG100" i="13"/>
  <c r="P100" i="13"/>
  <c r="AL108" i="13"/>
  <c r="U108" i="13"/>
  <c r="D108" i="13"/>
  <c r="AA107" i="13"/>
  <c r="K107" i="13"/>
  <c r="AH106" i="13"/>
  <c r="Q106" i="13"/>
  <c r="AN105" i="13"/>
  <c r="W105" i="13"/>
  <c r="G105" i="13"/>
  <c r="AD103" i="13"/>
  <c r="M103" i="13"/>
  <c r="AJ102" i="13"/>
  <c r="S102" i="13"/>
  <c r="AP101" i="13"/>
  <c r="Y101" i="13"/>
  <c r="I101" i="13"/>
  <c r="AF100" i="13"/>
  <c r="O100" i="13"/>
  <c r="AK108" i="13"/>
  <c r="T108" i="13"/>
  <c r="AA108" i="13"/>
  <c r="AM107" i="13"/>
  <c r="Q107" i="13"/>
  <c r="AD106" i="13"/>
  <c r="H106" i="13"/>
  <c r="T105" i="13"/>
  <c r="AL103" i="13"/>
  <c r="K103" i="13"/>
  <c r="AB102" i="13"/>
  <c r="AO101" i="13"/>
  <c r="S101" i="13"/>
  <c r="AK100" i="13"/>
  <c r="J100" i="13"/>
  <c r="Y90" i="13"/>
  <c r="G90" i="13"/>
  <c r="AA89" i="13"/>
  <c r="G89" i="13"/>
  <c r="AA88" i="13"/>
  <c r="I88" i="13"/>
  <c r="AD87" i="13"/>
  <c r="K87" i="13"/>
  <c r="AF85" i="13"/>
  <c r="M85" i="13"/>
  <c r="AF84" i="13"/>
  <c r="M84" i="13"/>
  <c r="AH83" i="13"/>
  <c r="O83" i="13"/>
  <c r="AJ82" i="13"/>
  <c r="Q82" i="13"/>
  <c r="AH54" i="13"/>
  <c r="Q54" i="13"/>
  <c r="AN53" i="13"/>
  <c r="W53" i="13"/>
  <c r="G53" i="13"/>
  <c r="Z108" i="13"/>
  <c r="AL107" i="13"/>
  <c r="P107" i="13"/>
  <c r="AB106" i="13"/>
  <c r="G106" i="13"/>
  <c r="S105" i="13"/>
  <c r="AK103" i="13"/>
  <c r="J103" i="13"/>
  <c r="AA102" i="13"/>
  <c r="AN101" i="13"/>
  <c r="R101" i="13"/>
  <c r="AE100" i="13"/>
  <c r="I100" i="13"/>
  <c r="AQ90" i="13"/>
  <c r="X90" i="13"/>
  <c r="E90" i="13"/>
  <c r="Z89" i="13"/>
  <c r="E89" i="13"/>
  <c r="Z88" i="13"/>
  <c r="H88" i="13"/>
  <c r="AB87" i="13"/>
  <c r="J87" i="13"/>
  <c r="AE85" i="13"/>
  <c r="L85" i="13"/>
  <c r="AE84" i="13"/>
  <c r="L84" i="13"/>
  <c r="AG83" i="13"/>
  <c r="N83" i="13"/>
  <c r="AI82" i="13"/>
  <c r="P82" i="13"/>
  <c r="AG54" i="13"/>
  <c r="P54" i="13"/>
  <c r="AM53" i="13"/>
  <c r="V53" i="13"/>
  <c r="E53" i="13"/>
  <c r="S108" i="13"/>
  <c r="AK107" i="13"/>
  <c r="J107" i="13"/>
  <c r="AA106" i="13"/>
  <c r="E106" i="13"/>
  <c r="R105" i="13"/>
  <c r="AJ103" i="13"/>
  <c r="I103" i="13"/>
  <c r="Z102" i="13"/>
  <c r="AM101" i="13"/>
  <c r="Q101" i="13"/>
  <c r="AD100" i="13"/>
  <c r="H100" i="13"/>
  <c r="AP90" i="13"/>
  <c r="W90" i="13"/>
  <c r="D90" i="13"/>
  <c r="W89" i="13"/>
  <c r="D89" i="13"/>
  <c r="Y88" i="13"/>
  <c r="G88" i="13"/>
  <c r="AA87" i="13"/>
  <c r="I87" i="13"/>
  <c r="AD85" i="13"/>
  <c r="I85" i="13"/>
  <c r="AD84" i="13"/>
  <c r="K84" i="13"/>
  <c r="AF83" i="13"/>
  <c r="M83" i="13"/>
  <c r="AH82" i="13"/>
  <c r="O82" i="13"/>
  <c r="R108" i="13"/>
  <c r="AJ107" i="13"/>
  <c r="I107" i="13"/>
  <c r="Z106" i="13"/>
  <c r="AM105" i="13"/>
  <c r="Q105" i="13"/>
  <c r="AI103" i="13"/>
  <c r="H103" i="13"/>
  <c r="Y102" i="13"/>
  <c r="AL101" i="13"/>
  <c r="P101" i="13"/>
  <c r="AB100" i="13"/>
  <c r="G100" i="13"/>
  <c r="AO90" i="13"/>
  <c r="V90" i="13"/>
  <c r="AQ89" i="13"/>
  <c r="V89" i="13"/>
  <c r="AQ88" i="13"/>
  <c r="X88" i="13"/>
  <c r="E88" i="13"/>
  <c r="Z87" i="13"/>
  <c r="H87" i="13"/>
  <c r="AB85" i="13"/>
  <c r="H85" i="13"/>
  <c r="AB84" i="13"/>
  <c r="J84" i="13"/>
  <c r="AE83" i="13"/>
  <c r="L83" i="13"/>
  <c r="AG82" i="13"/>
  <c r="N82" i="13"/>
  <c r="Q108" i="13"/>
  <c r="AI107" i="13"/>
  <c r="H107" i="13"/>
  <c r="Y106" i="13"/>
  <c r="AL105" i="13"/>
  <c r="P105" i="13"/>
  <c r="AB103" i="13"/>
  <c r="G103" i="13"/>
  <c r="X102" i="13"/>
  <c r="AK101" i="13"/>
  <c r="O101" i="13"/>
  <c r="AA100" i="13"/>
  <c r="E100" i="13"/>
  <c r="AN90" i="13"/>
  <c r="U90" i="13"/>
  <c r="AN89" i="13"/>
  <c r="U89" i="13"/>
  <c r="AP88" i="13"/>
  <c r="W88" i="13"/>
  <c r="D88" i="13"/>
  <c r="Y87" i="13"/>
  <c r="G87" i="13"/>
  <c r="Y85" i="13"/>
  <c r="G85" i="13"/>
  <c r="AA84" i="13"/>
  <c r="I84" i="13"/>
  <c r="AD83" i="13"/>
  <c r="K83" i="13"/>
  <c r="AF82" i="13"/>
  <c r="K82" i="13"/>
  <c r="P108" i="13"/>
  <c r="AH107" i="13"/>
  <c r="G107" i="13"/>
  <c r="X106" i="13"/>
  <c r="AK105" i="13"/>
  <c r="O105" i="13"/>
  <c r="AA103" i="13"/>
  <c r="E103" i="13"/>
  <c r="R102" i="13"/>
  <c r="AJ101" i="13"/>
  <c r="N101" i="13"/>
  <c r="Z100" i="13"/>
  <c r="AM90" i="13"/>
  <c r="T90" i="13"/>
  <c r="AM89" i="13"/>
  <c r="T89" i="13"/>
  <c r="AO88" i="13"/>
  <c r="V88" i="13"/>
  <c r="AQ87" i="13"/>
  <c r="O108" i="13"/>
  <c r="AG107" i="13"/>
  <c r="E107" i="13"/>
  <c r="W106" i="13"/>
  <c r="AJ105" i="13"/>
  <c r="N105" i="13"/>
  <c r="Z103" i="13"/>
  <c r="D103" i="13"/>
  <c r="Q102" i="13"/>
  <c r="AI101" i="13"/>
  <c r="H101" i="13"/>
  <c r="Y100" i="13"/>
  <c r="AL90" i="13"/>
  <c r="Q90" i="13"/>
  <c r="AL89" i="13"/>
  <c r="S89" i="13"/>
  <c r="AN88" i="13"/>
  <c r="U88" i="13"/>
  <c r="AP87" i="13"/>
  <c r="W87" i="13"/>
  <c r="AP85" i="13"/>
  <c r="W85" i="13"/>
  <c r="D85" i="13"/>
  <c r="Y84" i="13"/>
  <c r="G84" i="13"/>
  <c r="AQ108" i="13"/>
  <c r="N108" i="13"/>
  <c r="Z107" i="13"/>
  <c r="D107" i="13"/>
  <c r="V106" i="13"/>
  <c r="AI105" i="13"/>
  <c r="M105" i="13"/>
  <c r="Y103" i="13"/>
  <c r="AQ102" i="13"/>
  <c r="P102" i="13"/>
  <c r="AH101" i="13"/>
  <c r="G101" i="13"/>
  <c r="X100" i="13"/>
  <c r="AK90" i="13"/>
  <c r="P90" i="13"/>
  <c r="AK89" i="13"/>
  <c r="R89" i="13"/>
  <c r="AM88" i="13"/>
  <c r="T88" i="13"/>
  <c r="AO87" i="13"/>
  <c r="V87" i="13"/>
  <c r="AO85" i="13"/>
  <c r="V85" i="13"/>
  <c r="AQ84" i="13"/>
  <c r="X84" i="13"/>
  <c r="E84" i="13"/>
  <c r="AJ108" i="13"/>
  <c r="M108" i="13"/>
  <c r="Y107" i="13"/>
  <c r="AQ106" i="13"/>
  <c r="P106" i="13"/>
  <c r="AH105" i="13"/>
  <c r="L105" i="13"/>
  <c r="X103" i="13"/>
  <c r="AP102" i="13"/>
  <c r="O102" i="13"/>
  <c r="AG101" i="13"/>
  <c r="E101" i="13"/>
  <c r="W100" i="13"/>
  <c r="AH90" i="13"/>
  <c r="O90" i="13"/>
  <c r="AJ89" i="13"/>
  <c r="Q89" i="13"/>
  <c r="AL88" i="13"/>
  <c r="S88" i="13"/>
  <c r="AN87" i="13"/>
  <c r="S87" i="13"/>
  <c r="AN85" i="13"/>
  <c r="AI108" i="13"/>
  <c r="L108" i="13"/>
  <c r="X107" i="13"/>
  <c r="AP106" i="13"/>
  <c r="O106" i="13"/>
  <c r="AG105" i="13"/>
  <c r="E105" i="13"/>
  <c r="W103" i="13"/>
  <c r="AO102" i="13"/>
  <c r="N102" i="13"/>
  <c r="AF101" i="13"/>
  <c r="V100" i="13"/>
  <c r="AG90" i="13"/>
  <c r="N90" i="13"/>
  <c r="AI89" i="13"/>
  <c r="P89" i="13"/>
  <c r="AK88" i="13"/>
  <c r="R88" i="13"/>
  <c r="AM87" i="13"/>
  <c r="R87" i="13"/>
  <c r="AM85" i="13"/>
  <c r="AH108" i="13"/>
  <c r="K108" i="13"/>
  <c r="W107" i="13"/>
  <c r="AO106" i="13"/>
  <c r="N106" i="13"/>
  <c r="AF105" i="13"/>
  <c r="D105" i="13"/>
  <c r="V103" i="13"/>
  <c r="AI102" i="13"/>
  <c r="M102" i="13"/>
  <c r="AE101" i="13"/>
  <c r="AQ100" i="13"/>
  <c r="U100" i="13"/>
  <c r="AF90" i="13"/>
  <c r="M90" i="13"/>
  <c r="AH89" i="13"/>
  <c r="O89" i="13"/>
  <c r="AJ88" i="13"/>
  <c r="Q88" i="13"/>
  <c r="AJ87" i="13"/>
  <c r="Q87" i="13"/>
  <c r="AL85" i="13"/>
  <c r="S85" i="13"/>
  <c r="AN84" i="13"/>
  <c r="U84" i="13"/>
  <c r="AP83" i="13"/>
  <c r="U83" i="13"/>
  <c r="AP82" i="13"/>
  <c r="W82" i="13"/>
  <c r="D82" i="13"/>
  <c r="AG108" i="13"/>
  <c r="J108" i="13"/>
  <c r="V107" i="13"/>
  <c r="AN106" i="13"/>
  <c r="M106" i="13"/>
  <c r="AE105" i="13"/>
  <c r="AQ103" i="13"/>
  <c r="U103" i="13"/>
  <c r="AH102" i="13"/>
  <c r="L102" i="13"/>
  <c r="X101" i="13"/>
  <c r="AP100" i="13"/>
  <c r="T100" i="13"/>
  <c r="AE90" i="13"/>
  <c r="L90" i="13"/>
  <c r="AG89" i="13"/>
  <c r="N89" i="13"/>
  <c r="AI88" i="13"/>
  <c r="P88" i="13"/>
  <c r="AI87" i="13"/>
  <c r="P87" i="13"/>
  <c r="AK85" i="13"/>
  <c r="R85" i="13"/>
  <c r="AM84" i="13"/>
  <c r="T84" i="13"/>
  <c r="AO83" i="13"/>
  <c r="AF108" i="13"/>
  <c r="AQ107" i="13"/>
  <c r="U107" i="13"/>
  <c r="AM106" i="13"/>
  <c r="L106" i="13"/>
  <c r="AD105" i="13"/>
  <c r="AP103" i="13"/>
  <c r="T103" i="13"/>
  <c r="AG102" i="13"/>
  <c r="K102" i="13"/>
  <c r="W101" i="13"/>
  <c r="AO100" i="13"/>
  <c r="N100" i="13"/>
  <c r="AD90" i="13"/>
  <c r="K90" i="13"/>
  <c r="AF89" i="13"/>
  <c r="M89" i="13"/>
  <c r="AH88" i="13"/>
  <c r="M88" i="13"/>
  <c r="AH87" i="13"/>
  <c r="O87" i="13"/>
  <c r="AJ85" i="13"/>
  <c r="Q85" i="13"/>
  <c r="AL84" i="13"/>
  <c r="S84" i="13"/>
  <c r="AL83" i="13"/>
  <c r="S83" i="13"/>
  <c r="AN82" i="13"/>
  <c r="U82" i="13"/>
  <c r="AE108" i="13"/>
  <c r="AP107" i="13"/>
  <c r="T107" i="13"/>
  <c r="AG106" i="13"/>
  <c r="K106" i="13"/>
  <c r="AB105" i="13"/>
  <c r="AO103" i="13"/>
  <c r="S103" i="13"/>
  <c r="AF102" i="13"/>
  <c r="J102" i="13"/>
  <c r="V101" i="13"/>
  <c r="AN100" i="13"/>
  <c r="M100" i="13"/>
  <c r="AB90" i="13"/>
  <c r="J90" i="13"/>
  <c r="AE89" i="13"/>
  <c r="L89" i="13"/>
  <c r="AG88" i="13"/>
  <c r="L88" i="13"/>
  <c r="AG87" i="13"/>
  <c r="AF106" i="13"/>
  <c r="AM100" i="13"/>
  <c r="AB88" i="13"/>
  <c r="P85" i="13"/>
  <c r="D84" i="13"/>
  <c r="H83" i="13"/>
  <c r="J82" i="13"/>
  <c r="AQ54" i="13"/>
  <c r="X54" i="13"/>
  <c r="E54" i="13"/>
  <c r="Z53" i="13"/>
  <c r="H53" i="13"/>
  <c r="AB52" i="13"/>
  <c r="L52" i="13"/>
  <c r="AI51" i="13"/>
  <c r="R51" i="13"/>
  <c r="AO49" i="13"/>
  <c r="X49" i="13"/>
  <c r="H49" i="13"/>
  <c r="AE48" i="13"/>
  <c r="N48" i="13"/>
  <c r="AK47" i="13"/>
  <c r="T47" i="13"/>
  <c r="AQ46" i="13"/>
  <c r="Z46" i="13"/>
  <c r="J46" i="13"/>
  <c r="AK30" i="13"/>
  <c r="T30" i="13"/>
  <c r="AG29" i="13"/>
  <c r="P29" i="13"/>
  <c r="AM28" i="13"/>
  <c r="V28" i="13"/>
  <c r="E28" i="13"/>
  <c r="AB26" i="13"/>
  <c r="L26" i="13"/>
  <c r="AO25" i="13"/>
  <c r="X25" i="13"/>
  <c r="H25" i="13"/>
  <c r="AE24" i="13"/>
  <c r="N24" i="13"/>
  <c r="AK11" i="13"/>
  <c r="AN12" i="13"/>
  <c r="AQ13" i="13"/>
  <c r="AG16" i="13"/>
  <c r="AJ17" i="13"/>
  <c r="AM18" i="13"/>
  <c r="AP19" i="13"/>
  <c r="M11" i="13"/>
  <c r="H12" i="13"/>
  <c r="X12" i="13"/>
  <c r="S13" i="13"/>
  <c r="AE106" i="13"/>
  <c r="AL100" i="13"/>
  <c r="K88" i="13"/>
  <c r="O85" i="13"/>
  <c r="AQ83" i="13"/>
  <c r="D83" i="13"/>
  <c r="I82" i="13"/>
  <c r="AP54" i="13"/>
  <c r="W54" i="13"/>
  <c r="D54" i="13"/>
  <c r="Y53" i="13"/>
  <c r="D53" i="13"/>
  <c r="AA52" i="13"/>
  <c r="K52" i="13"/>
  <c r="AH51" i="13"/>
  <c r="Q51" i="13"/>
  <c r="AN49" i="13"/>
  <c r="W49" i="13"/>
  <c r="G49" i="13"/>
  <c r="AD48" i="13"/>
  <c r="M48" i="13"/>
  <c r="AJ47" i="13"/>
  <c r="S47" i="13"/>
  <c r="AP46" i="13"/>
  <c r="Y46" i="13"/>
  <c r="I46" i="13"/>
  <c r="AJ30" i="13"/>
  <c r="S30" i="13"/>
  <c r="AF29" i="13"/>
  <c r="O29" i="13"/>
  <c r="AL28" i="13"/>
  <c r="U28" i="13"/>
  <c r="D28" i="13"/>
  <c r="AA26" i="13"/>
  <c r="K26" i="13"/>
  <c r="AN25" i="13"/>
  <c r="W25" i="13"/>
  <c r="G25" i="13"/>
  <c r="AD24" i="13"/>
  <c r="M24" i="13"/>
  <c r="AL11" i="13"/>
  <c r="AO12" i="13"/>
  <c r="AE14" i="13"/>
  <c r="AH16" i="13"/>
  <c r="AK17" i="13"/>
  <c r="AN18" i="13"/>
  <c r="AQ19" i="13"/>
  <c r="N11" i="13"/>
  <c r="I12" i="13"/>
  <c r="Y12" i="13"/>
  <c r="T13" i="13"/>
  <c r="O14" i="13"/>
  <c r="J16" i="13"/>
  <c r="Z16" i="13"/>
  <c r="U17" i="13"/>
  <c r="P18" i="13"/>
  <c r="K19" i="13"/>
  <c r="AA19" i="13"/>
  <c r="D14" i="13"/>
  <c r="D12" i="13"/>
  <c r="J106" i="13"/>
  <c r="L100" i="13"/>
  <c r="J88" i="13"/>
  <c r="N85" i="13"/>
  <c r="AK83" i="13"/>
  <c r="AQ82" i="13"/>
  <c r="H82" i="13"/>
  <c r="AO54" i="13"/>
  <c r="V54" i="13"/>
  <c r="AQ53" i="13"/>
  <c r="X53" i="13"/>
  <c r="AQ52" i="13"/>
  <c r="Z52" i="13"/>
  <c r="J52" i="13"/>
  <c r="AG51" i="13"/>
  <c r="P51" i="13"/>
  <c r="AM49" i="13"/>
  <c r="V49" i="13"/>
  <c r="E49" i="13"/>
  <c r="AB48" i="13"/>
  <c r="L48" i="13"/>
  <c r="AI47" i="13"/>
  <c r="R47" i="13"/>
  <c r="AO46" i="13"/>
  <c r="X46" i="13"/>
  <c r="H46" i="13"/>
  <c r="AI30" i="13"/>
  <c r="R30" i="13"/>
  <c r="AE29" i="13"/>
  <c r="N29" i="13"/>
  <c r="AK28" i="13"/>
  <c r="T28" i="13"/>
  <c r="AQ26" i="13"/>
  <c r="Z26" i="13"/>
  <c r="J26" i="13"/>
  <c r="AM25" i="13"/>
  <c r="V25" i="13"/>
  <c r="E25" i="13"/>
  <c r="AB24" i="13"/>
  <c r="L24" i="13"/>
  <c r="AM11" i="13"/>
  <c r="AP12" i="13"/>
  <c r="AF14" i="13"/>
  <c r="AI16" i="13"/>
  <c r="AL17" i="13"/>
  <c r="AO18" i="13"/>
  <c r="O11" i="13"/>
  <c r="J12" i="13"/>
  <c r="Z12" i="13"/>
  <c r="U13" i="13"/>
  <c r="P14" i="13"/>
  <c r="K16" i="13"/>
  <c r="AA16" i="13"/>
  <c r="V17" i="13"/>
  <c r="Q18" i="13"/>
  <c r="L19" i="13"/>
  <c r="AB19" i="13"/>
  <c r="D13" i="13"/>
  <c r="AM17" i="13"/>
  <c r="AA12" i="13"/>
  <c r="Q14" i="13"/>
  <c r="AB16" i="13"/>
  <c r="R18" i="13"/>
  <c r="I106" i="13"/>
  <c r="K100" i="13"/>
  <c r="AF87" i="13"/>
  <c r="E85" i="13"/>
  <c r="AJ83" i="13"/>
  <c r="AO82" i="13"/>
  <c r="G82" i="13"/>
  <c r="AN54" i="13"/>
  <c r="U54" i="13"/>
  <c r="AP53" i="13"/>
  <c r="U53" i="13"/>
  <c r="AP52" i="13"/>
  <c r="Y52" i="13"/>
  <c r="I52" i="13"/>
  <c r="AF51" i="13"/>
  <c r="O51" i="13"/>
  <c r="AL49" i="13"/>
  <c r="U49" i="13"/>
  <c r="D49" i="13"/>
  <c r="AA48" i="13"/>
  <c r="K48" i="13"/>
  <c r="AH47" i="13"/>
  <c r="Q47" i="13"/>
  <c r="AN46" i="13"/>
  <c r="W46" i="13"/>
  <c r="G46" i="13"/>
  <c r="AH30" i="13"/>
  <c r="Q30" i="13"/>
  <c r="AD29" i="13"/>
  <c r="M29" i="13"/>
  <c r="AJ28" i="13"/>
  <c r="S28" i="13"/>
  <c r="AP26" i="13"/>
  <c r="Y26" i="13"/>
  <c r="I26" i="13"/>
  <c r="AL25" i="13"/>
  <c r="U25" i="13"/>
  <c r="D25" i="13"/>
  <c r="AA24" i="13"/>
  <c r="K24" i="13"/>
  <c r="AN11" i="13"/>
  <c r="AQ12" i="13"/>
  <c r="AG14" i="13"/>
  <c r="AJ16" i="13"/>
  <c r="AP18" i="13"/>
  <c r="AD11" i="13"/>
  <c r="P11" i="13"/>
  <c r="K12" i="13"/>
  <c r="V13" i="13"/>
  <c r="L16" i="13"/>
  <c r="W17" i="13"/>
  <c r="M19" i="13"/>
  <c r="V105" i="13"/>
  <c r="AE87" i="13"/>
  <c r="AP84" i="13"/>
  <c r="AI83" i="13"/>
  <c r="AM82" i="13"/>
  <c r="E82" i="13"/>
  <c r="AM54" i="13"/>
  <c r="T54" i="13"/>
  <c r="AO53" i="13"/>
  <c r="T53" i="13"/>
  <c r="AO52" i="13"/>
  <c r="X52" i="13"/>
  <c r="H52" i="13"/>
  <c r="AE51" i="13"/>
  <c r="N51" i="13"/>
  <c r="AK49" i="13"/>
  <c r="T49" i="13"/>
  <c r="AQ48" i="13"/>
  <c r="Z48" i="13"/>
  <c r="J48" i="13"/>
  <c r="AG47" i="13"/>
  <c r="P47" i="13"/>
  <c r="AM46" i="13"/>
  <c r="V46" i="13"/>
  <c r="E46" i="13"/>
  <c r="AG30" i="13"/>
  <c r="P30" i="13"/>
  <c r="AB29" i="13"/>
  <c r="L29" i="13"/>
  <c r="AI28" i="13"/>
  <c r="R28" i="13"/>
  <c r="AO26" i="13"/>
  <c r="X26" i="13"/>
  <c r="H26" i="13"/>
  <c r="AK25" i="13"/>
  <c r="T25" i="13"/>
  <c r="AQ24" i="13"/>
  <c r="Z24" i="13"/>
  <c r="J24" i="13"/>
  <c r="AO11" i="13"/>
  <c r="AE13" i="13"/>
  <c r="AH14" i="13"/>
  <c r="AK16" i="13"/>
  <c r="AN17" i="13"/>
  <c r="AQ18" i="13"/>
  <c r="AD19" i="13"/>
  <c r="Q11" i="13"/>
  <c r="L12" i="13"/>
  <c r="AB12" i="13"/>
  <c r="W13" i="13"/>
  <c r="R14" i="13"/>
  <c r="M16" i="13"/>
  <c r="H17" i="13"/>
  <c r="X17" i="13"/>
  <c r="S18" i="13"/>
  <c r="N19" i="13"/>
  <c r="D11" i="13"/>
  <c r="O19" i="13"/>
  <c r="E19" i="13"/>
  <c r="AQ17" i="13"/>
  <c r="U105" i="13"/>
  <c r="T92" i="13"/>
  <c r="X87" i="13"/>
  <c r="AO84" i="13"/>
  <c r="AB83" i="13"/>
  <c r="AL82" i="13"/>
  <c r="AL54" i="13"/>
  <c r="S54" i="13"/>
  <c r="AL53" i="13"/>
  <c r="S53" i="13"/>
  <c r="AN52" i="13"/>
  <c r="W52" i="13"/>
  <c r="G52" i="13"/>
  <c r="AD51" i="13"/>
  <c r="M51" i="13"/>
  <c r="AJ49" i="13"/>
  <c r="S49" i="13"/>
  <c r="AP48" i="13"/>
  <c r="Y48" i="13"/>
  <c r="I48" i="13"/>
  <c r="AF47" i="13"/>
  <c r="O47" i="13"/>
  <c r="AL46" i="13"/>
  <c r="U46" i="13"/>
  <c r="D46" i="13"/>
  <c r="AF30" i="13"/>
  <c r="O30" i="13"/>
  <c r="AA29" i="13"/>
  <c r="K29" i="13"/>
  <c r="AH28" i="13"/>
  <c r="Q28" i="13"/>
  <c r="AN26" i="13"/>
  <c r="W26" i="13"/>
  <c r="G26" i="13"/>
  <c r="AJ25" i="13"/>
  <c r="S25" i="13"/>
  <c r="AP24" i="13"/>
  <c r="Y24" i="13"/>
  <c r="I24" i="13"/>
  <c r="AP11" i="13"/>
  <c r="AF13" i="13"/>
  <c r="AI14" i="13"/>
  <c r="AL16" i="13"/>
  <c r="AO17" i="13"/>
  <c r="AE19" i="13"/>
  <c r="AD18" i="13"/>
  <c r="R11" i="13"/>
  <c r="M12" i="13"/>
  <c r="H13" i="13"/>
  <c r="X13" i="13"/>
  <c r="S14" i="13"/>
  <c r="N16" i="13"/>
  <c r="I17" i="13"/>
  <c r="Y17" i="13"/>
  <c r="T18" i="13"/>
  <c r="G19" i="13"/>
  <c r="AN103" i="13"/>
  <c r="N87" i="13"/>
  <c r="AK84" i="13"/>
  <c r="AA83" i="13"/>
  <c r="AK82" i="13"/>
  <c r="AK54" i="13"/>
  <c r="R54" i="13"/>
  <c r="AK53" i="13"/>
  <c r="R53" i="13"/>
  <c r="AM52" i="13"/>
  <c r="V52" i="13"/>
  <c r="E52" i="13"/>
  <c r="AB51" i="13"/>
  <c r="L51" i="13"/>
  <c r="AI49" i="13"/>
  <c r="R49" i="13"/>
  <c r="AO48" i="13"/>
  <c r="X48" i="13"/>
  <c r="H48" i="13"/>
  <c r="AE47" i="13"/>
  <c r="N47" i="13"/>
  <c r="AK46" i="13"/>
  <c r="T46" i="13"/>
  <c r="AE30" i="13"/>
  <c r="N30" i="13"/>
  <c r="AQ29" i="13"/>
  <c r="Z29" i="13"/>
  <c r="J29" i="13"/>
  <c r="AG28" i="13"/>
  <c r="P28" i="13"/>
  <c r="AM26" i="13"/>
  <c r="V26" i="13"/>
  <c r="E26" i="13"/>
  <c r="AI25" i="13"/>
  <c r="R25" i="13"/>
  <c r="AO24" i="13"/>
  <c r="X24" i="13"/>
  <c r="H24" i="13"/>
  <c r="AQ11" i="13"/>
  <c r="AG13" i="13"/>
  <c r="AJ14" i="13"/>
  <c r="AM16" i="13"/>
  <c r="AP17" i="13"/>
  <c r="AF19" i="13"/>
  <c r="AD17" i="13"/>
  <c r="S11" i="13"/>
  <c r="N12" i="13"/>
  <c r="I13" i="13"/>
  <c r="Y13" i="13"/>
  <c r="T14" i="13"/>
  <c r="O16" i="13"/>
  <c r="J17" i="13"/>
  <c r="Z17" i="13"/>
  <c r="U18" i="13"/>
  <c r="P19" i="13"/>
  <c r="G18" i="13"/>
  <c r="E18" i="13"/>
  <c r="W24" i="13"/>
  <c r="AN16" i="13"/>
  <c r="AD16" i="13"/>
  <c r="AM103" i="13"/>
  <c r="AA90" i="13"/>
  <c r="M87" i="13"/>
  <c r="AJ84" i="13"/>
  <c r="Z83" i="13"/>
  <c r="AE82" i="13"/>
  <c r="AJ54" i="13"/>
  <c r="O54" i="13"/>
  <c r="AJ53" i="13"/>
  <c r="Q53" i="13"/>
  <c r="AL52" i="13"/>
  <c r="U52" i="13"/>
  <c r="D52" i="13"/>
  <c r="AA51" i="13"/>
  <c r="K51" i="13"/>
  <c r="AH49" i="13"/>
  <c r="Q49" i="13"/>
  <c r="AN48" i="13"/>
  <c r="W48" i="13"/>
  <c r="G48" i="13"/>
  <c r="AD47" i="13"/>
  <c r="M47" i="13"/>
  <c r="AJ46" i="13"/>
  <c r="S46" i="13"/>
  <c r="AD30" i="13"/>
  <c r="M30" i="13"/>
  <c r="AP29" i="13"/>
  <c r="Y29" i="13"/>
  <c r="I29" i="13"/>
  <c r="AF28" i="13"/>
  <c r="O28" i="13"/>
  <c r="AL26" i="13"/>
  <c r="U26" i="13"/>
  <c r="D26" i="13"/>
  <c r="AH25" i="13"/>
  <c r="Q25" i="13"/>
  <c r="AN24" i="13"/>
  <c r="G24" i="13"/>
  <c r="AE12" i="13"/>
  <c r="AH13" i="13"/>
  <c r="AK14" i="13"/>
  <c r="AG19" i="13"/>
  <c r="T11" i="13"/>
  <c r="J13" i="13"/>
  <c r="R103" i="13"/>
  <c r="Z90" i="13"/>
  <c r="L87" i="13"/>
  <c r="AI84" i="13"/>
  <c r="Y83" i="13"/>
  <c r="AA82" i="13"/>
  <c r="AI54" i="13"/>
  <c r="N54" i="13"/>
  <c r="AI53" i="13"/>
  <c r="P53" i="13"/>
  <c r="AK52" i="13"/>
  <c r="T52" i="13"/>
  <c r="AQ51" i="13"/>
  <c r="Z51" i="13"/>
  <c r="J51" i="13"/>
  <c r="AG49" i="13"/>
  <c r="P49" i="13"/>
  <c r="AM48" i="13"/>
  <c r="V48" i="13"/>
  <c r="E48" i="13"/>
  <c r="AB47" i="13"/>
  <c r="L47" i="13"/>
  <c r="AI46" i="13"/>
  <c r="R46" i="13"/>
  <c r="AB30" i="13"/>
  <c r="L30" i="13"/>
  <c r="AO29" i="13"/>
  <c r="X29" i="13"/>
  <c r="H29" i="13"/>
  <c r="AE28" i="13"/>
  <c r="N28" i="13"/>
  <c r="AK26" i="13"/>
  <c r="T26" i="13"/>
  <c r="AG25" i="13"/>
  <c r="P25" i="13"/>
  <c r="AM24" i="13"/>
  <c r="V24" i="13"/>
  <c r="E24" i="13"/>
  <c r="AF12" i="13"/>
  <c r="AI13" i="13"/>
  <c r="AL14" i="13"/>
  <c r="AO16" i="13"/>
  <c r="AE18" i="13"/>
  <c r="AH19" i="13"/>
  <c r="L103" i="13"/>
  <c r="I90" i="13"/>
  <c r="E87" i="13"/>
  <c r="Z84" i="13"/>
  <c r="X83" i="13"/>
  <c r="Z82" i="13"/>
  <c r="AF54" i="13"/>
  <c r="M54" i="13"/>
  <c r="AH53" i="13"/>
  <c r="O53" i="13"/>
  <c r="AJ52" i="13"/>
  <c r="S52" i="13"/>
  <c r="AP51" i="13"/>
  <c r="Y51" i="13"/>
  <c r="I51" i="13"/>
  <c r="AF49" i="13"/>
  <c r="O49" i="13"/>
  <c r="AL48" i="13"/>
  <c r="U48" i="13"/>
  <c r="D48" i="13"/>
  <c r="AA47" i="13"/>
  <c r="K47" i="13"/>
  <c r="AH46" i="13"/>
  <c r="Q46" i="13"/>
  <c r="AA30" i="13"/>
  <c r="K30" i="13"/>
  <c r="AN29" i="13"/>
  <c r="W29" i="13"/>
  <c r="G29" i="13"/>
  <c r="AD28" i="13"/>
  <c r="M28" i="13"/>
  <c r="AJ26" i="13"/>
  <c r="S26" i="13"/>
  <c r="AF25" i="13"/>
  <c r="O25" i="13"/>
  <c r="AD108" i="13"/>
  <c r="AE102" i="13"/>
  <c r="H90" i="13"/>
  <c r="AI85" i="13"/>
  <c r="W84" i="13"/>
  <c r="T83" i="13"/>
  <c r="Y82" i="13"/>
  <c r="AE54" i="13"/>
  <c r="L54" i="13"/>
  <c r="AG53" i="13"/>
  <c r="N53" i="13"/>
  <c r="AI52" i="13"/>
  <c r="R52" i="13"/>
  <c r="AO51" i="13"/>
  <c r="X51" i="13"/>
  <c r="H51" i="13"/>
  <c r="AE49" i="13"/>
  <c r="N49" i="13"/>
  <c r="AK48" i="13"/>
  <c r="T48" i="13"/>
  <c r="AQ47" i="13"/>
  <c r="Z47" i="13"/>
  <c r="J47" i="13"/>
  <c r="AG46" i="13"/>
  <c r="P46" i="13"/>
  <c r="AQ30" i="13"/>
  <c r="Z30" i="13"/>
  <c r="J30" i="13"/>
  <c r="AM29" i="13"/>
  <c r="V29" i="13"/>
  <c r="E29" i="13"/>
  <c r="AB28" i="13"/>
  <c r="L28" i="13"/>
  <c r="AI26" i="13"/>
  <c r="R26" i="13"/>
  <c r="AE25" i="13"/>
  <c r="N25" i="13"/>
  <c r="AB108" i="13"/>
  <c r="AD102" i="13"/>
  <c r="AD89" i="13"/>
  <c r="AH85" i="13"/>
  <c r="V84" i="13"/>
  <c r="R83" i="13"/>
  <c r="X82" i="13"/>
  <c r="U56" i="13"/>
  <c r="AD54" i="13"/>
  <c r="K54" i="13"/>
  <c r="AF53" i="13"/>
  <c r="M53" i="13"/>
  <c r="AH52" i="13"/>
  <c r="Q52" i="13"/>
  <c r="AN51" i="13"/>
  <c r="W51" i="13"/>
  <c r="G51" i="13"/>
  <c r="AD49" i="13"/>
  <c r="M49" i="13"/>
  <c r="AJ48" i="13"/>
  <c r="S48" i="13"/>
  <c r="AP47" i="13"/>
  <c r="Y47" i="13"/>
  <c r="I47" i="13"/>
  <c r="AF46" i="13"/>
  <c r="O46" i="13"/>
  <c r="AP30" i="13"/>
  <c r="Y30" i="13"/>
  <c r="I30" i="13"/>
  <c r="AL29" i="13"/>
  <c r="U29" i="13"/>
  <c r="D29" i="13"/>
  <c r="AA28" i="13"/>
  <c r="K28" i="13"/>
  <c r="AH26" i="13"/>
  <c r="Q26" i="13"/>
  <c r="AD25" i="13"/>
  <c r="M25" i="13"/>
  <c r="AO107" i="13"/>
  <c r="I102" i="13"/>
  <c r="AB89" i="13"/>
  <c r="AG85" i="13"/>
  <c r="R84" i="13"/>
  <c r="Q83" i="13"/>
  <c r="V82" i="13"/>
  <c r="AB54" i="13"/>
  <c r="J54" i="13"/>
  <c r="AE53" i="13"/>
  <c r="L53" i="13"/>
  <c r="AG52" i="13"/>
  <c r="P52" i="13"/>
  <c r="AM51" i="13"/>
  <c r="V51" i="13"/>
  <c r="E51" i="13"/>
  <c r="AB49" i="13"/>
  <c r="L49" i="13"/>
  <c r="AI48" i="13"/>
  <c r="R48" i="13"/>
  <c r="AO47" i="13"/>
  <c r="X47" i="13"/>
  <c r="H47" i="13"/>
  <c r="AE46" i="13"/>
  <c r="N46" i="13"/>
  <c r="AO30" i="13"/>
  <c r="X30" i="13"/>
  <c r="H30" i="13"/>
  <c r="AK29" i="13"/>
  <c r="T29" i="13"/>
  <c r="AQ28" i="13"/>
  <c r="Z28" i="13"/>
  <c r="J28" i="13"/>
  <c r="AG26" i="13"/>
  <c r="P26" i="13"/>
  <c r="AB25" i="13"/>
  <c r="L25" i="13"/>
  <c r="AI24" i="13"/>
  <c r="R24" i="13"/>
  <c r="AG11" i="13"/>
  <c r="AJ12" i="13"/>
  <c r="AM13" i="13"/>
  <c r="AP14" i="13"/>
  <c r="AF17" i="13"/>
  <c r="AI18" i="13"/>
  <c r="AL19" i="13"/>
  <c r="I11" i="13"/>
  <c r="Y11" i="13"/>
  <c r="T12" i="13"/>
  <c r="O13" i="13"/>
  <c r="AN107" i="13"/>
  <c r="H102" i="13"/>
  <c r="K89" i="13"/>
  <c r="X85" i="13"/>
  <c r="O84" i="13"/>
  <c r="P83" i="13"/>
  <c r="T82" i="13"/>
  <c r="AA54" i="13"/>
  <c r="I54" i="13"/>
  <c r="AD53" i="13"/>
  <c r="K53" i="13"/>
  <c r="AF52" i="13"/>
  <c r="O52" i="13"/>
  <c r="AL51" i="13"/>
  <c r="U51" i="13"/>
  <c r="D51" i="13"/>
  <c r="AA49" i="13"/>
  <c r="K49" i="13"/>
  <c r="AH48" i="13"/>
  <c r="Q48" i="13"/>
  <c r="AN47" i="13"/>
  <c r="W47" i="13"/>
  <c r="G47" i="13"/>
  <c r="AD46" i="13"/>
  <c r="M46" i="13"/>
  <c r="AN30" i="13"/>
  <c r="W30" i="13"/>
  <c r="G30" i="13"/>
  <c r="AJ29" i="13"/>
  <c r="S29" i="13"/>
  <c r="AP28" i="13"/>
  <c r="Y28" i="13"/>
  <c r="I28" i="13"/>
  <c r="AF26" i="13"/>
  <c r="O26" i="13"/>
  <c r="AA25" i="13"/>
  <c r="K25" i="13"/>
  <c r="AH24" i="13"/>
  <c r="Q24" i="13"/>
  <c r="AH11" i="13"/>
  <c r="S107" i="13"/>
  <c r="U101" i="13"/>
  <c r="J89" i="13"/>
  <c r="U85" i="13"/>
  <c r="N84" i="13"/>
  <c r="J83" i="13"/>
  <c r="S82" i="13"/>
  <c r="E56" i="13"/>
  <c r="Z54" i="13"/>
  <c r="H54" i="13"/>
  <c r="AB53" i="13"/>
  <c r="J53" i="13"/>
  <c r="AE52" i="13"/>
  <c r="N52" i="13"/>
  <c r="AK51" i="13"/>
  <c r="T51" i="13"/>
  <c r="AQ49" i="13"/>
  <c r="Z49" i="13"/>
  <c r="J49" i="13"/>
  <c r="AG48" i="13"/>
  <c r="P48" i="13"/>
  <c r="AM47" i="13"/>
  <c r="V47" i="13"/>
  <c r="E47" i="13"/>
  <c r="AB46" i="13"/>
  <c r="L46" i="13"/>
  <c r="AM30" i="13"/>
  <c r="AP49" i="13"/>
  <c r="D30" i="13"/>
  <c r="AD26" i="13"/>
  <c r="AG24" i="13"/>
  <c r="AL12" i="13"/>
  <c r="AE17" i="13"/>
  <c r="AD14" i="13"/>
  <c r="Q12" i="13"/>
  <c r="H14" i="13"/>
  <c r="I16" i="13"/>
  <c r="P17" i="13"/>
  <c r="W18" i="13"/>
  <c r="X19" i="13"/>
  <c r="E13" i="13"/>
  <c r="N26" i="13"/>
  <c r="AM12" i="13"/>
  <c r="AG17" i="13"/>
  <c r="AD13" i="13"/>
  <c r="R12" i="13"/>
  <c r="I14" i="13"/>
  <c r="P16" i="13"/>
  <c r="Q17" i="13"/>
  <c r="X18" i="13"/>
  <c r="Y19" i="13"/>
  <c r="E14" i="13"/>
  <c r="T85" i="13"/>
  <c r="I49" i="13"/>
  <c r="M26" i="13"/>
  <c r="U24" i="13"/>
  <c r="AH17" i="13"/>
  <c r="AD12" i="13"/>
  <c r="J14" i="13"/>
  <c r="Q16" i="13"/>
  <c r="Z19" i="13"/>
  <c r="K14" i="13"/>
  <c r="G17" i="13"/>
  <c r="I83" i="13"/>
  <c r="O48" i="13"/>
  <c r="AL13" i="13"/>
  <c r="J11" i="13"/>
  <c r="S16" i="13"/>
  <c r="G16" i="13"/>
  <c r="AN13" i="13"/>
  <c r="T16" i="13"/>
  <c r="L11" i="13"/>
  <c r="G13" i="13"/>
  <c r="R29" i="13"/>
  <c r="U14" i="13"/>
  <c r="Q29" i="13"/>
  <c r="I18" i="13"/>
  <c r="T101" i="13"/>
  <c r="K18" i="13"/>
  <c r="AJ11" i="13"/>
  <c r="L18" i="13"/>
  <c r="AK19" i="13"/>
  <c r="M17" i="13"/>
  <c r="AP16" i="13"/>
  <c r="AD88" i="13"/>
  <c r="Y49" i="13"/>
  <c r="AF24" i="13"/>
  <c r="Y18" i="13"/>
  <c r="H11" i="13"/>
  <c r="Z18" i="13"/>
  <c r="AF18" i="13"/>
  <c r="AA18" i="13"/>
  <c r="AL47" i="13"/>
  <c r="AI29" i="13"/>
  <c r="AG18" i="13"/>
  <c r="AA17" i="13"/>
  <c r="AH18" i="13"/>
  <c r="U16" i="13"/>
  <c r="D47" i="13"/>
  <c r="AP13" i="13"/>
  <c r="I19" i="13"/>
  <c r="AM14" i="13"/>
  <c r="V14" i="13"/>
  <c r="W14" i="13"/>
  <c r="Y25" i="13"/>
  <c r="I53" i="13"/>
  <c r="D17" i="13"/>
  <c r="T19" i="13"/>
  <c r="D16" i="13"/>
  <c r="AL24" i="13"/>
  <c r="AO19" i="13"/>
  <c r="AJ13" i="13"/>
  <c r="S12" i="13"/>
  <c r="R17" i="13"/>
  <c r="E11" i="13"/>
  <c r="R16" i="13"/>
  <c r="L14" i="13"/>
  <c r="R82" i="13"/>
  <c r="W12" i="13"/>
  <c r="AB18" i="13"/>
  <c r="U47" i="13"/>
  <c r="AO13" i="13"/>
  <c r="N14" i="13"/>
  <c r="AJ18" i="13"/>
  <c r="AE11" i="13"/>
  <c r="W16" i="13"/>
  <c r="N13" i="13"/>
  <c r="AN28" i="13"/>
  <c r="Q13" i="13"/>
  <c r="AD52" i="13"/>
  <c r="U19" i="13"/>
  <c r="O12" i="13"/>
  <c r="H84" i="13"/>
  <c r="AF48" i="13"/>
  <c r="T24" i="13"/>
  <c r="AK13" i="13"/>
  <c r="AI17" i="13"/>
  <c r="U12" i="13"/>
  <c r="S17" i="13"/>
  <c r="S24" i="13"/>
  <c r="V12" i="13"/>
  <c r="T17" i="13"/>
  <c r="P24" i="13"/>
  <c r="M14" i="13"/>
  <c r="G14" i="13"/>
  <c r="O24" i="13"/>
  <c r="K13" i="13"/>
  <c r="H19" i="13"/>
  <c r="AQ25" i="13"/>
  <c r="V16" i="13"/>
  <c r="AA46" i="13"/>
  <c r="X14" i="13"/>
  <c r="J25" i="13"/>
  <c r="AL30" i="13"/>
  <c r="Z13" i="13"/>
  <c r="V19" i="13"/>
  <c r="AH29" i="13"/>
  <c r="U11" i="13"/>
  <c r="G12" i="13"/>
  <c r="AK18" i="13"/>
  <c r="J19" i="13"/>
  <c r="X16" i="13"/>
  <c r="Y16" i="13"/>
  <c r="X28" i="13"/>
  <c r="Y14" i="13"/>
  <c r="AE16" i="13"/>
  <c r="AA14" i="13"/>
  <c r="AB14" i="13"/>
  <c r="W19" i="13"/>
  <c r="K11" i="13"/>
  <c r="L13" i="13"/>
  <c r="AP25" i="13"/>
  <c r="J18" i="13"/>
  <c r="AA53" i="13"/>
  <c r="Z11" i="13"/>
  <c r="S19" i="13"/>
  <c r="AG12" i="13"/>
  <c r="AB11" i="13"/>
  <c r="AB13" i="13"/>
  <c r="AB17" i="13"/>
  <c r="M13" i="13"/>
  <c r="X11" i="13"/>
  <c r="AQ14" i="13"/>
  <c r="W28" i="13"/>
  <c r="AK24" i="13"/>
  <c r="D56" i="13"/>
  <c r="D24" i="13"/>
  <c r="H18" i="13"/>
  <c r="AL18" i="13"/>
  <c r="Q19" i="13"/>
  <c r="AO14" i="13"/>
  <c r="D18" i="13"/>
  <c r="L17" i="13"/>
  <c r="AH12" i="13"/>
  <c r="O18" i="13"/>
  <c r="V18" i="13"/>
  <c r="Y54" i="13"/>
  <c r="V11" i="13"/>
  <c r="P13" i="13"/>
  <c r="AJ19" i="13"/>
  <c r="I25" i="13"/>
  <c r="E17" i="13"/>
  <c r="AA13" i="13"/>
  <c r="R107" i="13"/>
  <c r="G54" i="13"/>
  <c r="K46" i="13"/>
  <c r="AO28" i="13"/>
  <c r="Z25" i="13"/>
  <c r="AF11" i="13"/>
  <c r="AN14" i="13"/>
  <c r="W11" i="13"/>
  <c r="D19" i="13"/>
  <c r="AI19" i="13"/>
  <c r="R19" i="13"/>
  <c r="Z14" i="13"/>
  <c r="AF16" i="13"/>
  <c r="N17" i="13"/>
  <c r="AI11" i="13"/>
  <c r="R13" i="13"/>
  <c r="AM19" i="13"/>
  <c r="P12" i="13"/>
  <c r="K17" i="13"/>
  <c r="M18" i="13"/>
  <c r="V30" i="13"/>
  <c r="H16" i="13"/>
  <c r="AA11" i="13"/>
  <c r="AN19" i="13"/>
  <c r="M52" i="13"/>
  <c r="H28" i="13"/>
  <c r="N18" i="13"/>
  <c r="O17" i="13"/>
  <c r="AJ51" i="13"/>
  <c r="U30" i="13"/>
  <c r="G28" i="13"/>
  <c r="AI12" i="13"/>
  <c r="E16" i="13"/>
  <c r="S51" i="13"/>
  <c r="E30" i="13"/>
  <c r="AE26" i="13"/>
  <c r="AJ24" i="13"/>
  <c r="AK12" i="13"/>
  <c r="AQ16" i="13"/>
  <c r="E12" i="13"/>
  <c r="AJ110" i="13"/>
  <c r="K110" i="13"/>
  <c r="G92" i="13"/>
  <c r="AP92" i="13"/>
  <c r="AG92" i="13"/>
  <c r="J56" i="13"/>
  <c r="Q56" i="13"/>
  <c r="O43" i="13"/>
  <c r="G43" i="13"/>
  <c r="H92" i="13"/>
  <c r="AG43" i="13"/>
  <c r="AI92" i="13"/>
  <c r="AA110" i="13"/>
  <c r="R110" i="13"/>
  <c r="W92" i="13"/>
  <c r="N92" i="13"/>
  <c r="G56" i="13"/>
  <c r="Z56" i="13"/>
  <c r="N56" i="13"/>
  <c r="AG56" i="13"/>
  <c r="AE43" i="13"/>
  <c r="W43" i="13"/>
  <c r="AA92" i="13"/>
  <c r="H43" i="13"/>
  <c r="K56" i="13"/>
  <c r="D92" i="13"/>
  <c r="H110" i="13"/>
  <c r="AQ110" i="13"/>
  <c r="O110" i="13"/>
  <c r="AH110" i="13"/>
  <c r="AM92" i="13"/>
  <c r="AD92" i="13"/>
  <c r="W56" i="13"/>
  <c r="AP56" i="13"/>
  <c r="AD56" i="13"/>
  <c r="P43" i="13"/>
  <c r="AM43" i="13"/>
  <c r="Q43" i="13"/>
  <c r="L110" i="13"/>
  <c r="AJ92" i="13"/>
  <c r="X110" i="13"/>
  <c r="AE110" i="13"/>
  <c r="K92" i="13"/>
  <c r="AM56" i="13"/>
  <c r="AF43" i="13"/>
  <c r="V43" i="13"/>
  <c r="AQ92" i="13"/>
  <c r="R56" i="13"/>
  <c r="AN110" i="13"/>
  <c r="R92" i="13"/>
  <c r="AI56" i="13"/>
  <c r="O92" i="13"/>
  <c r="AH92" i="13"/>
  <c r="O56" i="13"/>
  <c r="X43" i="13"/>
  <c r="AJ56" i="13"/>
  <c r="E110" i="13"/>
  <c r="I110" i="13"/>
  <c r="AB110" i="13"/>
  <c r="S110" i="13"/>
  <c r="X92" i="13"/>
  <c r="AE92" i="13"/>
  <c r="H56" i="13"/>
  <c r="AA56" i="13"/>
  <c r="AE56" i="13"/>
  <c r="AH56" i="13"/>
  <c r="AH43" i="13"/>
  <c r="AN43" i="13"/>
  <c r="T56" i="13"/>
  <c r="U110" i="13"/>
  <c r="Y110" i="13"/>
  <c r="P110" i="13"/>
  <c r="AN92" i="13"/>
  <c r="X56" i="13"/>
  <c r="AQ56" i="13"/>
  <c r="S43" i="13"/>
  <c r="Y43" i="13"/>
  <c r="AQ43" i="13"/>
  <c r="AK110" i="13"/>
  <c r="AO110" i="13"/>
  <c r="AF110" i="13"/>
  <c r="L92" i="13"/>
  <c r="AN56" i="13"/>
  <c r="D43" i="13"/>
  <c r="J43" i="13"/>
  <c r="D110" i="13"/>
  <c r="V110" i="13"/>
  <c r="E92" i="13"/>
  <c r="I92" i="13"/>
  <c r="AB92" i="13"/>
  <c r="S92" i="13"/>
  <c r="T43" i="13"/>
  <c r="Z43" i="13"/>
  <c r="L43" i="13"/>
  <c r="AL110" i="13"/>
  <c r="M110" i="13"/>
  <c r="U92" i="13"/>
  <c r="Y92" i="13"/>
  <c r="P92" i="13"/>
  <c r="AB56" i="13"/>
  <c r="S56" i="13"/>
  <c r="AJ43" i="13"/>
  <c r="AP43" i="13"/>
  <c r="J110" i="13"/>
  <c r="AK92" i="13"/>
  <c r="AO92" i="13"/>
  <c r="AF92" i="13"/>
  <c r="I56" i="13"/>
  <c r="P56" i="13"/>
  <c r="R43" i="13"/>
  <c r="I43" i="13"/>
  <c r="Z110" i="13"/>
  <c r="Q110" i="13"/>
  <c r="V92" i="13"/>
  <c r="AK56" i="13"/>
  <c r="Y56" i="13"/>
  <c r="L56" i="13"/>
  <c r="AF56" i="13"/>
  <c r="AI43" i="13"/>
  <c r="AO43" i="13"/>
  <c r="M43" i="13"/>
  <c r="G110" i="13"/>
  <c r="AP110" i="13"/>
  <c r="AG110" i="13"/>
  <c r="AL92" i="13"/>
  <c r="M92" i="13"/>
  <c r="V56" i="13"/>
  <c r="AO56" i="13"/>
  <c r="M56" i="13"/>
  <c r="AB43" i="13"/>
  <c r="E43" i="13"/>
  <c r="K43" i="13"/>
  <c r="AI110" i="13"/>
  <c r="W110" i="13"/>
  <c r="N110" i="13"/>
  <c r="J92" i="13"/>
  <c r="AL56" i="13"/>
  <c r="N43" i="13"/>
  <c r="U43" i="13"/>
  <c r="AA43" i="13"/>
  <c r="AK43" i="13"/>
  <c r="T110" i="13"/>
  <c r="AM110" i="13"/>
  <c r="AD110" i="13"/>
  <c r="Z92" i="13"/>
  <c r="Q92" i="13"/>
  <c r="AD43" i="13"/>
  <c r="AL43" i="13"/>
  <c r="T21" i="13"/>
  <c r="P21" i="13"/>
  <c r="AK21" i="13"/>
  <c r="Z21" i="13"/>
  <c r="S21" i="13"/>
  <c r="J21" i="13"/>
  <c r="O21" i="13"/>
  <c r="AE21" i="13"/>
  <c r="Y21" i="13"/>
  <c r="G21" i="13"/>
  <c r="H21" i="13"/>
  <c r="AI21" i="13"/>
  <c r="AF21" i="13"/>
  <c r="AD21" i="13"/>
  <c r="W21" i="13"/>
  <c r="AH21" i="13"/>
  <c r="AN21" i="13"/>
  <c r="AL21" i="13"/>
  <c r="AB21" i="13"/>
  <c r="AO21" i="13"/>
  <c r="E21" i="13"/>
  <c r="D21" i="13"/>
  <c r="AQ21" i="13"/>
  <c r="R21" i="13"/>
  <c r="AM21" i="13"/>
  <c r="I21" i="13"/>
  <c r="AA21" i="13"/>
  <c r="V21" i="13"/>
  <c r="L21" i="13"/>
  <c r="N21" i="13"/>
  <c r="AG21" i="13"/>
  <c r="Q21" i="13"/>
  <c r="AP21" i="13"/>
  <c r="AJ21" i="13"/>
  <c r="U21" i="13"/>
  <c r="X21" i="13"/>
  <c r="M21" i="13"/>
  <c r="K21" i="13"/>
  <c r="AO115" i="13" l="1"/>
  <c r="W115" i="13"/>
  <c r="AM115" i="13"/>
  <c r="O97" i="13"/>
  <c r="AF115" i="13"/>
  <c r="AR115" i="13"/>
  <c r="AJ115" i="13"/>
  <c r="H115" i="13"/>
  <c r="AR97" i="13"/>
  <c r="V115" i="13"/>
  <c r="AA115" i="13"/>
  <c r="AB97" i="13"/>
  <c r="N97" i="13"/>
  <c r="AP115" i="13"/>
  <c r="K115" i="13"/>
  <c r="AP97" i="13"/>
  <c r="AE97" i="13"/>
  <c r="T115" i="13"/>
  <c r="AD115" i="13"/>
  <c r="AK115" i="13"/>
  <c r="G115" i="13"/>
  <c r="I115" i="13"/>
  <c r="AN115" i="13"/>
  <c r="Y115" i="13"/>
  <c r="AP118" i="13"/>
  <c r="AR31" i="13"/>
  <c r="AR76" i="13"/>
  <c r="AR122" i="13"/>
  <c r="AR41" i="13"/>
  <c r="AR66" i="13"/>
  <c r="V97" i="13"/>
  <c r="AL118" i="13"/>
  <c r="O115" i="13"/>
  <c r="AA97" i="13"/>
  <c r="K97" i="13"/>
  <c r="M97" i="13"/>
  <c r="X115" i="13"/>
  <c r="AR118" i="13"/>
  <c r="P118" i="13"/>
  <c r="AH115" i="13"/>
  <c r="AJ118" i="13"/>
  <c r="T97" i="13"/>
  <c r="AN118" i="13"/>
  <c r="AI115" i="13"/>
  <c r="AG97" i="13"/>
  <c r="Y97" i="13"/>
  <c r="P122" i="13"/>
  <c r="AK122" i="13"/>
  <c r="AP122" i="13"/>
  <c r="AF66" i="13"/>
  <c r="U115" i="13"/>
  <c r="AD97" i="13"/>
  <c r="Z97" i="13"/>
  <c r="AO122" i="13"/>
  <c r="Q115" i="13"/>
  <c r="AL115" i="13"/>
  <c r="E115" i="13"/>
  <c r="AD118" i="13"/>
  <c r="AQ118" i="13"/>
  <c r="U118" i="13"/>
  <c r="AB118" i="13"/>
  <c r="AK118" i="13"/>
  <c r="S115" i="13"/>
  <c r="G122" i="13"/>
  <c r="G123" i="13" s="1"/>
  <c r="E122" i="13"/>
  <c r="E123" i="13" s="1"/>
  <c r="AE122" i="13"/>
  <c r="AQ122" i="13"/>
  <c r="AH122" i="13"/>
  <c r="O122" i="13"/>
  <c r="D122" i="13"/>
  <c r="D123" i="13" s="1"/>
  <c r="M122" i="13"/>
  <c r="AN122" i="13"/>
  <c r="Y122" i="13"/>
  <c r="AF122" i="13"/>
  <c r="AB122" i="13"/>
  <c r="AI122" i="13"/>
  <c r="I122" i="13"/>
  <c r="I123" i="13" s="1"/>
  <c r="T122" i="13"/>
  <c r="H118" i="13"/>
  <c r="H119" i="13" s="1"/>
  <c r="H120" i="13" s="1"/>
  <c r="AL122" i="13"/>
  <c r="W122" i="13"/>
  <c r="M115" i="13"/>
  <c r="I118" i="13"/>
  <c r="I119" i="13" s="1"/>
  <c r="I120" i="13" s="1"/>
  <c r="AM118" i="13"/>
  <c r="S122" i="13"/>
  <c r="K122" i="13"/>
  <c r="K123" i="13" s="1"/>
  <c r="Q122" i="13"/>
  <c r="AJ122" i="13"/>
  <c r="AM122" i="13"/>
  <c r="N122" i="13"/>
  <c r="U122" i="13"/>
  <c r="X122" i="13"/>
  <c r="H122" i="13"/>
  <c r="H123" i="13" s="1"/>
  <c r="V122" i="13"/>
  <c r="AD122" i="13"/>
  <c r="X118" i="13"/>
  <c r="R122" i="13"/>
  <c r="AA122" i="13"/>
  <c r="L122" i="13"/>
  <c r="L123" i="13" s="1"/>
  <c r="Z122" i="13"/>
  <c r="J122" i="13"/>
  <c r="J123" i="13" s="1"/>
  <c r="AG122" i="13"/>
  <c r="P97" i="13"/>
  <c r="L118" i="13"/>
  <c r="AF118" i="13"/>
  <c r="Q118" i="13"/>
  <c r="AA118" i="13"/>
  <c r="T118" i="13"/>
  <c r="AH118" i="13"/>
  <c r="W118" i="13"/>
  <c r="G118" i="13"/>
  <c r="R118" i="13"/>
  <c r="AE118" i="13"/>
  <c r="O118" i="13"/>
  <c r="AG118" i="13"/>
  <c r="N118" i="13"/>
  <c r="Y118" i="13"/>
  <c r="K118" i="13"/>
  <c r="D118" i="13"/>
  <c r="D119" i="13" s="1"/>
  <c r="J118" i="13"/>
  <c r="J119" i="13" s="1"/>
  <c r="J120" i="13" s="1"/>
  <c r="AI118" i="13"/>
  <c r="M118" i="13"/>
  <c r="E118" i="13"/>
  <c r="S118" i="13"/>
  <c r="V118" i="13"/>
  <c r="AO118" i="13"/>
  <c r="Z118" i="13"/>
  <c r="J115" i="13"/>
  <c r="P115" i="13"/>
  <c r="Z115" i="13"/>
  <c r="L115" i="13"/>
  <c r="AD41" i="13"/>
  <c r="AG115" i="13"/>
  <c r="R115" i="13"/>
  <c r="AB115" i="13"/>
  <c r="N115" i="13"/>
  <c r="AE115" i="13"/>
  <c r="D115" i="13"/>
  <c r="E97" i="13"/>
  <c r="L97" i="13"/>
  <c r="AQ66" i="13"/>
  <c r="X97" i="13"/>
  <c r="G97" i="13"/>
  <c r="W97" i="13"/>
  <c r="AF97" i="13"/>
  <c r="AN97" i="13"/>
  <c r="R97" i="13"/>
  <c r="AI97" i="13"/>
  <c r="I97" i="13"/>
  <c r="AQ76" i="13"/>
  <c r="Q76" i="13"/>
  <c r="J76" i="13"/>
  <c r="AI66" i="13"/>
  <c r="H97" i="13"/>
  <c r="Z76" i="13"/>
  <c r="M66" i="13"/>
  <c r="AK97" i="13"/>
  <c r="Q97" i="13"/>
  <c r="U97" i="13"/>
  <c r="J97" i="13"/>
  <c r="AM97" i="13"/>
  <c r="O76" i="13"/>
  <c r="AH97" i="13"/>
  <c r="AO97" i="13"/>
  <c r="D97" i="13"/>
  <c r="AJ97" i="13"/>
  <c r="S97" i="13"/>
  <c r="U66" i="13"/>
  <c r="S31" i="13"/>
  <c r="AJ31" i="13"/>
  <c r="S66" i="13"/>
  <c r="R76" i="13"/>
  <c r="AI76" i="13"/>
  <c r="AF76" i="13"/>
  <c r="AP66" i="13"/>
  <c r="N76" i="13"/>
  <c r="J66" i="13"/>
  <c r="H76" i="13"/>
  <c r="AE76" i="13"/>
  <c r="D66" i="13"/>
  <c r="AA66" i="13"/>
  <c r="X76" i="13"/>
  <c r="AL66" i="13"/>
  <c r="AO66" i="13"/>
  <c r="Q66" i="13"/>
  <c r="AO76" i="13"/>
  <c r="E66" i="13"/>
  <c r="I76" i="13"/>
  <c r="L76" i="13"/>
  <c r="T76" i="13"/>
  <c r="AM66" i="13"/>
  <c r="E76" i="13"/>
  <c r="R66" i="13"/>
  <c r="AD66" i="13"/>
  <c r="AM76" i="13"/>
  <c r="Y76" i="13"/>
  <c r="S41" i="13"/>
  <c r="AB76" i="13"/>
  <c r="P66" i="13"/>
  <c r="X66" i="13"/>
  <c r="AK76" i="13"/>
  <c r="W66" i="13"/>
  <c r="G76" i="13"/>
  <c r="N66" i="13"/>
  <c r="AP76" i="13"/>
  <c r="I66" i="13"/>
  <c r="V76" i="13"/>
  <c r="W76" i="13"/>
  <c r="AJ66" i="13"/>
  <c r="AE66" i="13"/>
  <c r="AJ76" i="13"/>
  <c r="Y66" i="13"/>
  <c r="AN66" i="13"/>
  <c r="H66" i="13"/>
  <c r="L66" i="13"/>
  <c r="AN76" i="13"/>
  <c r="AH66" i="13"/>
  <c r="P76" i="13"/>
  <c r="V66" i="13"/>
  <c r="AB66" i="13"/>
  <c r="AG76" i="13"/>
  <c r="K76" i="13"/>
  <c r="M76" i="13"/>
  <c r="AA76" i="13"/>
  <c r="AD76" i="13"/>
  <c r="G66" i="13"/>
  <c r="T66" i="13"/>
  <c r="S76" i="13"/>
  <c r="AH76" i="13"/>
  <c r="K66" i="13"/>
  <c r="D76" i="13"/>
  <c r="Z66" i="13"/>
  <c r="U76" i="13"/>
  <c r="O66" i="13"/>
  <c r="AK66" i="13"/>
  <c r="AG66" i="13"/>
  <c r="AL76" i="13"/>
  <c r="D31" i="13"/>
  <c r="M41" i="13"/>
  <c r="AK31" i="13"/>
  <c r="AM31" i="13"/>
  <c r="Q31" i="13"/>
  <c r="O31" i="13"/>
  <c r="AF31" i="13"/>
  <c r="AN31" i="13"/>
  <c r="AO31" i="13"/>
  <c r="N31" i="13"/>
  <c r="E31" i="13"/>
  <c r="AE31" i="13"/>
  <c r="V31" i="13"/>
  <c r="AL31" i="13"/>
  <c r="AG31" i="13"/>
  <c r="J31" i="13"/>
  <c r="Z31" i="13"/>
  <c r="T31" i="13"/>
  <c r="I31" i="13"/>
  <c r="Y31" i="13"/>
  <c r="AH31" i="13"/>
  <c r="W31" i="13"/>
  <c r="AP31" i="13"/>
  <c r="K31" i="13"/>
  <c r="AA31" i="13"/>
  <c r="M31" i="13"/>
  <c r="U31" i="13"/>
  <c r="R31" i="13"/>
  <c r="L31" i="13"/>
  <c r="AD31" i="13"/>
  <c r="AI31" i="13"/>
  <c r="H31" i="13"/>
  <c r="AB31" i="13"/>
  <c r="P31" i="13"/>
  <c r="G31" i="13"/>
  <c r="X31" i="13"/>
  <c r="J41" i="13"/>
  <c r="AJ41" i="13"/>
  <c r="G41" i="13"/>
  <c r="Z41" i="13"/>
  <c r="W41" i="13"/>
  <c r="AN41" i="13"/>
  <c r="K41" i="13"/>
  <c r="L41" i="13"/>
  <c r="T41" i="13"/>
  <c r="E41" i="13"/>
  <c r="AA41" i="13"/>
  <c r="AB41" i="13"/>
  <c r="AK41" i="13"/>
  <c r="V41" i="13"/>
  <c r="I41" i="13"/>
  <c r="P41" i="13"/>
  <c r="AM41" i="13"/>
  <c r="Y41" i="13"/>
  <c r="AG41" i="13"/>
  <c r="AP41" i="13"/>
  <c r="O41" i="13"/>
  <c r="AF41" i="13"/>
  <c r="Q41" i="13"/>
  <c r="D41" i="13"/>
  <c r="AH41" i="13"/>
  <c r="U41" i="13"/>
  <c r="N41" i="13"/>
  <c r="AL41" i="13"/>
  <c r="H41" i="13"/>
  <c r="AE41" i="13"/>
  <c r="X41" i="13"/>
  <c r="R41" i="13"/>
  <c r="AO41" i="13"/>
  <c r="AI41" i="13"/>
  <c r="F126" i="13"/>
  <c r="G9" i="19" s="1"/>
  <c r="Q78" i="13" l="1"/>
  <c r="U78" i="13"/>
  <c r="U119" i="13" s="1"/>
  <c r="U120" i="13" s="1"/>
  <c r="AP126" i="13"/>
  <c r="AQ9" i="19" s="1"/>
  <c r="P126" i="13"/>
  <c r="Q9" i="19" s="1"/>
  <c r="AL126" i="13"/>
  <c r="AJ126" i="13"/>
  <c r="AK9" i="19" s="1"/>
  <c r="AR126" i="13"/>
  <c r="AS9" i="19" s="1"/>
  <c r="AS9" i="9"/>
  <c r="AS12" i="19" s="1"/>
  <c r="AR78" i="13"/>
  <c r="AR119" i="13" s="1"/>
  <c r="AM126" i="13"/>
  <c r="AN9" i="19" s="1"/>
  <c r="AN126" i="13"/>
  <c r="AO9" i="19" s="1"/>
  <c r="AF78" i="13"/>
  <c r="AF119" i="13" s="1"/>
  <c r="AF123" i="13" s="1"/>
  <c r="AF127" i="13" s="1"/>
  <c r="AG10" i="19" s="1"/>
  <c r="AQ126" i="13"/>
  <c r="AR9" i="19" s="1"/>
  <c r="I78" i="13"/>
  <c r="AK126" i="13"/>
  <c r="U126" i="13"/>
  <c r="V9" i="19" s="1"/>
  <c r="AI126" i="13"/>
  <c r="AJ9" i="19" s="1"/>
  <c r="I126" i="13"/>
  <c r="J9" i="19" s="1"/>
  <c r="Q119" i="13"/>
  <c r="Q123" i="13" s="1"/>
  <c r="X126" i="13"/>
  <c r="Y9" i="19" s="1"/>
  <c r="AD126" i="13"/>
  <c r="AE9" i="19" s="1"/>
  <c r="G126" i="13"/>
  <c r="H9" i="19" s="1"/>
  <c r="Q126" i="13"/>
  <c r="R9" i="19" s="1"/>
  <c r="J127" i="13"/>
  <c r="K10" i="19" s="1"/>
  <c r="E126" i="13"/>
  <c r="F9" i="19" s="1"/>
  <c r="AA126" i="13"/>
  <c r="AB9" i="19" s="1"/>
  <c r="AB126" i="13"/>
  <c r="AC9" i="19" s="1"/>
  <c r="H126" i="13"/>
  <c r="I9" i="19" s="1"/>
  <c r="M126" i="13"/>
  <c r="N9" i="19" s="1"/>
  <c r="AE126" i="13"/>
  <c r="AF9" i="19" s="1"/>
  <c r="K126" i="13"/>
  <c r="L9" i="19" s="1"/>
  <c r="Y126" i="13"/>
  <c r="Z9" i="19" s="1"/>
  <c r="O126" i="13"/>
  <c r="P9" i="19" s="1"/>
  <c r="R126" i="13"/>
  <c r="S9" i="19" s="1"/>
  <c r="Z126" i="13"/>
  <c r="AA9" i="19" s="1"/>
  <c r="W126" i="13"/>
  <c r="X9" i="19" s="1"/>
  <c r="D126" i="13"/>
  <c r="E9" i="19" s="1"/>
  <c r="S126" i="13"/>
  <c r="T9" i="19" s="1"/>
  <c r="T126" i="13"/>
  <c r="U9" i="19" s="1"/>
  <c r="L119" i="13"/>
  <c r="L127" i="13" s="1"/>
  <c r="M10" i="19" s="1"/>
  <c r="E119" i="13"/>
  <c r="E127" i="13" s="1"/>
  <c r="F10" i="19" s="1"/>
  <c r="AF126" i="13"/>
  <c r="AG9" i="19" s="1"/>
  <c r="V126" i="13"/>
  <c r="W9" i="19" s="1"/>
  <c r="AH126" i="13"/>
  <c r="AI9" i="19" s="1"/>
  <c r="AG126" i="13"/>
  <c r="AH9" i="19" s="1"/>
  <c r="G119" i="13"/>
  <c r="G120" i="13" s="1"/>
  <c r="N126" i="13"/>
  <c r="O9" i="19" s="1"/>
  <c r="K119" i="13"/>
  <c r="K120" i="13" s="1"/>
  <c r="Z78" i="13"/>
  <c r="T78" i="13"/>
  <c r="G78" i="13"/>
  <c r="R78" i="13"/>
  <c r="J78" i="13"/>
  <c r="M78" i="13"/>
  <c r="AI78" i="13"/>
  <c r="O78" i="13"/>
  <c r="AQ78" i="13"/>
  <c r="K78" i="13"/>
  <c r="H78" i="13"/>
  <c r="AA78" i="13"/>
  <c r="D78" i="13"/>
  <c r="AD78" i="13"/>
  <c r="AP78" i="13"/>
  <c r="AN78" i="13"/>
  <c r="I127" i="13"/>
  <c r="J10" i="19" s="1"/>
  <c r="AM78" i="13"/>
  <c r="AE78" i="13"/>
  <c r="AG78" i="13"/>
  <c r="AB78" i="13"/>
  <c r="N78" i="13"/>
  <c r="Y78" i="13"/>
  <c r="AK78" i="13"/>
  <c r="V78" i="13"/>
  <c r="E78" i="13"/>
  <c r="S78" i="13"/>
  <c r="W78" i="13"/>
  <c r="AH78" i="13"/>
  <c r="AJ78" i="13"/>
  <c r="X78" i="13"/>
  <c r="AO78" i="13"/>
  <c r="L78" i="13"/>
  <c r="P78" i="13"/>
  <c r="AL78" i="13"/>
  <c r="AO126" i="13"/>
  <c r="AP9" i="19" s="1"/>
  <c r="L126" i="13"/>
  <c r="M9" i="19" s="1"/>
  <c r="D127" i="13"/>
  <c r="E10" i="19" s="1"/>
  <c r="F127" i="13"/>
  <c r="H127" i="13"/>
  <c r="I10" i="19" s="1"/>
  <c r="J126" i="13"/>
  <c r="K9" i="19" s="1"/>
  <c r="AL9" i="9"/>
  <c r="AL12" i="19" s="1"/>
  <c r="AM9" i="9"/>
  <c r="AM12" i="19" s="1"/>
  <c r="AK9" i="9"/>
  <c r="AK12" i="19" s="1"/>
  <c r="AR9" i="9"/>
  <c r="AR12" i="19" s="1"/>
  <c r="AC124" i="13"/>
  <c r="AD9" i="9"/>
  <c r="AD12" i="19" s="1"/>
  <c r="G9" i="9"/>
  <c r="G12" i="19" s="1"/>
  <c r="AM9" i="19" l="1"/>
  <c r="AM13" i="9"/>
  <c r="AD43" i="19"/>
  <c r="AD38" i="19"/>
  <c r="AD33" i="19"/>
  <c r="G33" i="19"/>
  <c r="G43" i="19"/>
  <c r="G38" i="19"/>
  <c r="AM33" i="19"/>
  <c r="AM38" i="19"/>
  <c r="AM43" i="19"/>
  <c r="AL38" i="19"/>
  <c r="AL43" i="19"/>
  <c r="AL33" i="19"/>
  <c r="AL13" i="9"/>
  <c r="AL9" i="19"/>
  <c r="AS43" i="19"/>
  <c r="AS33" i="19"/>
  <c r="AS38" i="19"/>
  <c r="AR33" i="19"/>
  <c r="AR43" i="19"/>
  <c r="AR38" i="19"/>
  <c r="AK38" i="19"/>
  <c r="AK33" i="19"/>
  <c r="AK43" i="19"/>
  <c r="F128" i="13"/>
  <c r="G10" i="19"/>
  <c r="U123" i="13"/>
  <c r="U127" i="13" s="1"/>
  <c r="V10" i="19" s="1"/>
  <c r="AR123" i="13"/>
  <c r="AR127" i="13" s="1"/>
  <c r="AR128" i="13" s="1"/>
  <c r="I128" i="13"/>
  <c r="AR120" i="13"/>
  <c r="G127" i="13"/>
  <c r="H10" i="19" s="1"/>
  <c r="AS13" i="9"/>
  <c r="Q127" i="13"/>
  <c r="E128" i="13"/>
  <c r="H128" i="13"/>
  <c r="J128" i="13"/>
  <c r="Q120" i="13"/>
  <c r="AF120" i="13"/>
  <c r="L128" i="13"/>
  <c r="AF128" i="13"/>
  <c r="AN119" i="13"/>
  <c r="T119" i="13"/>
  <c r="Y119" i="13"/>
  <c r="E120" i="13"/>
  <c r="L120" i="13"/>
  <c r="Z119" i="13"/>
  <c r="AH119" i="13"/>
  <c r="W119" i="13"/>
  <c r="S119" i="13"/>
  <c r="N119" i="13"/>
  <c r="M119" i="13"/>
  <c r="V119" i="13"/>
  <c r="AL119" i="13"/>
  <c r="AM119" i="13"/>
  <c r="X119" i="13"/>
  <c r="AJ119" i="13"/>
  <c r="AD119" i="13"/>
  <c r="AA119" i="13"/>
  <c r="K127" i="13"/>
  <c r="AQ119" i="13"/>
  <c r="O119" i="13"/>
  <c r="AB119" i="13"/>
  <c r="AG119" i="13"/>
  <c r="AE119" i="13"/>
  <c r="R119" i="13"/>
  <c r="AP119" i="13"/>
  <c r="AK119" i="13"/>
  <c r="AI119" i="13"/>
  <c r="P119" i="13"/>
  <c r="AO119" i="13"/>
  <c r="AN13" i="9"/>
  <c r="AN9" i="9"/>
  <c r="AN12" i="19" s="1"/>
  <c r="AI13" i="9"/>
  <c r="AI9" i="9"/>
  <c r="AI12" i="19" s="1"/>
  <c r="AP13" i="9"/>
  <c r="AP9" i="9"/>
  <c r="AP12" i="19" s="1"/>
  <c r="AQ13" i="9"/>
  <c r="AQ9" i="9"/>
  <c r="AQ12" i="19" s="1"/>
  <c r="AH13" i="9"/>
  <c r="AH9" i="9"/>
  <c r="AH12" i="19" s="1"/>
  <c r="AO13" i="9"/>
  <c r="AO9" i="9"/>
  <c r="AO12" i="19" s="1"/>
  <c r="AJ13" i="9"/>
  <c r="AJ9" i="9"/>
  <c r="AJ12" i="19" s="1"/>
  <c r="AR13" i="9"/>
  <c r="AG9" i="9"/>
  <c r="AG12" i="19" s="1"/>
  <c r="AD10" i="9"/>
  <c r="AD13" i="19" s="1"/>
  <c r="AD14" i="9"/>
  <c r="F9" i="9"/>
  <c r="F12" i="19" s="1"/>
  <c r="G13" i="9"/>
  <c r="AD13" i="9"/>
  <c r="G10" i="9"/>
  <c r="G13" i="19" s="1"/>
  <c r="G14" i="9"/>
  <c r="F124" i="13"/>
  <c r="K128" i="13" l="1"/>
  <c r="L10" i="19"/>
  <c r="AS14" i="9"/>
  <c r="AS15" i="9" s="1"/>
  <c r="AS10" i="19"/>
  <c r="AN43" i="19"/>
  <c r="AN33" i="19"/>
  <c r="AN38" i="19"/>
  <c r="AD44" i="19"/>
  <c r="AD45" i="19" s="1"/>
  <c r="AD39" i="19"/>
  <c r="AD40" i="19" s="1"/>
  <c r="AD34" i="19"/>
  <c r="AD35" i="19" s="1"/>
  <c r="AQ33" i="19"/>
  <c r="AQ43" i="19"/>
  <c r="AQ38" i="19"/>
  <c r="AP38" i="19"/>
  <c r="AP43" i="19"/>
  <c r="AP33" i="19"/>
  <c r="AI38" i="19"/>
  <c r="AI33" i="19"/>
  <c r="AI43" i="19"/>
  <c r="F33" i="19"/>
  <c r="F43" i="19"/>
  <c r="F38" i="19"/>
  <c r="AO33" i="19"/>
  <c r="AO43" i="19"/>
  <c r="AO38" i="19"/>
  <c r="G44" i="19"/>
  <c r="G45" i="19" s="1"/>
  <c r="G34" i="19"/>
  <c r="G35" i="19" s="1"/>
  <c r="G39" i="19"/>
  <c r="G40" i="19" s="1"/>
  <c r="AG43" i="19"/>
  <c r="AG33" i="19"/>
  <c r="AG38" i="19"/>
  <c r="Q128" i="13"/>
  <c r="R10" i="19"/>
  <c r="AJ38" i="19"/>
  <c r="AJ43" i="19"/>
  <c r="AJ33" i="19"/>
  <c r="G128" i="13"/>
  <c r="AH38" i="19"/>
  <c r="AH43" i="19"/>
  <c r="AH33" i="19"/>
  <c r="U128" i="13"/>
  <c r="AS10" i="9"/>
  <c r="AR124" i="13"/>
  <c r="AL120" i="13"/>
  <c r="AL123" i="13"/>
  <c r="AL127" i="13" s="1"/>
  <c r="AJ120" i="13"/>
  <c r="AJ123" i="13"/>
  <c r="AK10" i="9" s="1"/>
  <c r="R120" i="13"/>
  <c r="R123" i="13"/>
  <c r="R127" i="13" s="1"/>
  <c r="P120" i="13"/>
  <c r="P123" i="13"/>
  <c r="P127" i="13" s="1"/>
  <c r="N120" i="13"/>
  <c r="N123" i="13"/>
  <c r="N127" i="13" s="1"/>
  <c r="O120" i="13"/>
  <c r="O123" i="13"/>
  <c r="O127" i="13" s="1"/>
  <c r="AO120" i="13"/>
  <c r="AO123" i="13"/>
  <c r="AO127" i="13" s="1"/>
  <c r="M120" i="13"/>
  <c r="M123" i="13"/>
  <c r="M127" i="13" s="1"/>
  <c r="AG120" i="13"/>
  <c r="AG123" i="13"/>
  <c r="AH10" i="9" s="1"/>
  <c r="AM120" i="13"/>
  <c r="AM123" i="13"/>
  <c r="AM124" i="13" s="1"/>
  <c r="AK120" i="13"/>
  <c r="AK123" i="13"/>
  <c r="S120" i="13"/>
  <c r="S123" i="13"/>
  <c r="S127" i="13" s="1"/>
  <c r="AH120" i="13"/>
  <c r="AH123" i="13"/>
  <c r="AH127" i="13" s="1"/>
  <c r="Y120" i="13"/>
  <c r="Y123" i="13"/>
  <c r="Y127" i="13" s="1"/>
  <c r="V120" i="13"/>
  <c r="V123" i="13"/>
  <c r="V127" i="13" s="1"/>
  <c r="AE120" i="13"/>
  <c r="AE123" i="13"/>
  <c r="AE127" i="13" s="1"/>
  <c r="Z120" i="13"/>
  <c r="Z123" i="13"/>
  <c r="Z127" i="13" s="1"/>
  <c r="AA120" i="13"/>
  <c r="AA123" i="13"/>
  <c r="AA127" i="13" s="1"/>
  <c r="T120" i="13"/>
  <c r="T123" i="13"/>
  <c r="T127" i="13" s="1"/>
  <c r="X120" i="13"/>
  <c r="X123" i="13"/>
  <c r="X127" i="13" s="1"/>
  <c r="AI120" i="13"/>
  <c r="AI123" i="13"/>
  <c r="AI124" i="13" s="1"/>
  <c r="AP120" i="13"/>
  <c r="AP123" i="13"/>
  <c r="AP127" i="13" s="1"/>
  <c r="AQ10" i="19" s="1"/>
  <c r="W120" i="13"/>
  <c r="W123" i="13"/>
  <c r="W127" i="13" s="1"/>
  <c r="AB120" i="13"/>
  <c r="AB123" i="13"/>
  <c r="AB127" i="13" s="1"/>
  <c r="AQ120" i="13"/>
  <c r="AQ123" i="13"/>
  <c r="AQ124" i="13" s="1"/>
  <c r="AD120" i="13"/>
  <c r="AD123" i="13"/>
  <c r="AD127" i="13" s="1"/>
  <c r="AN120" i="13"/>
  <c r="AN123" i="13"/>
  <c r="AN127" i="13" s="1"/>
  <c r="AG14" i="9"/>
  <c r="AF124" i="13"/>
  <c r="AG10" i="9"/>
  <c r="AK13" i="9"/>
  <c r="AG13" i="9"/>
  <c r="AD11" i="9"/>
  <c r="G11" i="9"/>
  <c r="G15" i="9"/>
  <c r="F13" i="9"/>
  <c r="AD15" i="9"/>
  <c r="F10" i="9"/>
  <c r="F13" i="19" s="1"/>
  <c r="E124" i="13"/>
  <c r="AM127" i="13" l="1"/>
  <c r="AM128" i="13" s="1"/>
  <c r="AL128" i="13"/>
  <c r="AM10" i="19"/>
  <c r="R128" i="13"/>
  <c r="S10" i="19"/>
  <c r="Z128" i="13"/>
  <c r="AA10" i="19"/>
  <c r="S128" i="13"/>
  <c r="T10" i="19"/>
  <c r="F44" i="19"/>
  <c r="F45" i="19" s="1"/>
  <c r="F34" i="19"/>
  <c r="F35" i="19" s="1"/>
  <c r="F39" i="19"/>
  <c r="F40" i="19" s="1"/>
  <c r="AA128" i="13"/>
  <c r="AB10" i="19"/>
  <c r="M128" i="13"/>
  <c r="N10" i="19"/>
  <c r="AN128" i="13"/>
  <c r="AO10" i="19"/>
  <c r="AB128" i="13"/>
  <c r="AC10" i="19"/>
  <c r="AO128" i="13"/>
  <c r="AP10" i="19"/>
  <c r="W128" i="13"/>
  <c r="X10" i="19"/>
  <c r="AD128" i="13"/>
  <c r="AE10" i="19"/>
  <c r="AG11" i="9"/>
  <c r="AG13" i="19"/>
  <c r="AS11" i="9"/>
  <c r="AS13" i="19"/>
  <c r="O128" i="13"/>
  <c r="P10" i="19"/>
  <c r="X128" i="13"/>
  <c r="Y10" i="19"/>
  <c r="Y128" i="13"/>
  <c r="Z10" i="19"/>
  <c r="AQ127" i="13"/>
  <c r="T128" i="13"/>
  <c r="U10" i="19"/>
  <c r="V128" i="13"/>
  <c r="W10" i="19"/>
  <c r="N128" i="13"/>
  <c r="O10" i="19"/>
  <c r="P128" i="13"/>
  <c r="Q10" i="19"/>
  <c r="AK11" i="9"/>
  <c r="AK13" i="19"/>
  <c r="AH11" i="9"/>
  <c r="AH13" i="19"/>
  <c r="AE128" i="13"/>
  <c r="AF10" i="19"/>
  <c r="AG127" i="13"/>
  <c r="AH14" i="9" s="1"/>
  <c r="AH15" i="9" s="1"/>
  <c r="AH128" i="13"/>
  <c r="AI10" i="19"/>
  <c r="AH124" i="13"/>
  <c r="AR10" i="9"/>
  <c r="AR13" i="19" s="1"/>
  <c r="AI127" i="13"/>
  <c r="AP128" i="13"/>
  <c r="AQ14" i="9"/>
  <c r="AQ15" i="9" s="1"/>
  <c r="AO124" i="13"/>
  <c r="AP10" i="9"/>
  <c r="AJ10" i="9"/>
  <c r="AQ10" i="9"/>
  <c r="AP124" i="13"/>
  <c r="AM10" i="9"/>
  <c r="AN124" i="13"/>
  <c r="AL124" i="13"/>
  <c r="AJ127" i="13"/>
  <c r="AK10" i="19" s="1"/>
  <c r="AJ124" i="13"/>
  <c r="AO10" i="9"/>
  <c r="AK127" i="13"/>
  <c r="AL10" i="19" s="1"/>
  <c r="AK124" i="13"/>
  <c r="AL10" i="9"/>
  <c r="AG124" i="13"/>
  <c r="AI10" i="9"/>
  <c r="AN10" i="9"/>
  <c r="AI14" i="9"/>
  <c r="AO14" i="9"/>
  <c r="AM14" i="9"/>
  <c r="AP14" i="9"/>
  <c r="AG15" i="9"/>
  <c r="F11" i="9"/>
  <c r="F14" i="9"/>
  <c r="A2" i="10"/>
  <c r="AN10" i="19" l="1"/>
  <c r="AH39" i="19"/>
  <c r="AH40" i="19" s="1"/>
  <c r="AH34" i="19"/>
  <c r="AH35" i="19" s="1"/>
  <c r="AH44" i="19"/>
  <c r="AH45" i="19" s="1"/>
  <c r="AN11" i="9"/>
  <c r="AN13" i="19"/>
  <c r="AR34" i="19"/>
  <c r="AR35" i="19" s="1"/>
  <c r="AR44" i="19"/>
  <c r="AR45" i="19" s="1"/>
  <c r="AR39" i="19"/>
  <c r="AR40" i="19" s="1"/>
  <c r="AP11" i="9"/>
  <c r="AP13" i="19"/>
  <c r="AI11" i="9"/>
  <c r="AI13" i="19"/>
  <c r="AG44" i="19"/>
  <c r="AG45" i="19" s="1"/>
  <c r="AG39" i="19"/>
  <c r="AG40" i="19" s="1"/>
  <c r="AG34" i="19"/>
  <c r="AG35" i="19" s="1"/>
  <c r="AM11" i="9"/>
  <c r="AM13" i="19"/>
  <c r="AQ128" i="13"/>
  <c r="AR10" i="19"/>
  <c r="AL11" i="9"/>
  <c r="AL13" i="19"/>
  <c r="AI128" i="13"/>
  <c r="AJ10" i="19"/>
  <c r="AO11" i="9"/>
  <c r="AO13" i="19"/>
  <c r="AR14" i="9"/>
  <c r="AR15" i="9" s="1"/>
  <c r="AJ11" i="9"/>
  <c r="AJ13" i="19"/>
  <c r="AK39" i="19"/>
  <c r="AK40" i="19" s="1"/>
  <c r="AK44" i="19"/>
  <c r="AK45" i="19" s="1"/>
  <c r="AK34" i="19"/>
  <c r="AK35" i="19" s="1"/>
  <c r="AR11" i="9"/>
  <c r="AG128" i="13"/>
  <c r="AH10" i="19"/>
  <c r="AQ11" i="9"/>
  <c r="AQ13" i="19"/>
  <c r="AS34" i="19"/>
  <c r="AS35" i="19" s="1"/>
  <c r="AS44" i="19"/>
  <c r="AS45" i="19" s="1"/>
  <c r="AS39" i="19"/>
  <c r="AS40" i="19" s="1"/>
  <c r="AJ14" i="9"/>
  <c r="AJ15" i="9" s="1"/>
  <c r="AK128" i="13"/>
  <c r="AL14" i="9"/>
  <c r="AL15" i="9" s="1"/>
  <c r="AJ128" i="13"/>
  <c r="AK14" i="9"/>
  <c r="AK15" i="9" s="1"/>
  <c r="AN14" i="9"/>
  <c r="AN15" i="9" s="1"/>
  <c r="AM15" i="9"/>
  <c r="AP15" i="9"/>
  <c r="AO15" i="9"/>
  <c r="AI15" i="9"/>
  <c r="F15" i="9"/>
  <c r="AO44" i="19" l="1"/>
  <c r="AO45" i="19" s="1"/>
  <c r="AO34" i="19"/>
  <c r="AO35" i="19" s="1"/>
  <c r="AO39" i="19"/>
  <c r="AO40" i="19" s="1"/>
  <c r="AJ39" i="19"/>
  <c r="AJ40" i="19" s="1"/>
  <c r="AJ44" i="19"/>
  <c r="AJ45" i="19" s="1"/>
  <c r="AJ34" i="19"/>
  <c r="AJ35" i="19" s="1"/>
  <c r="AL39" i="19"/>
  <c r="AL40" i="19" s="1"/>
  <c r="AL34" i="19"/>
  <c r="AL35" i="19" s="1"/>
  <c r="AL44" i="19"/>
  <c r="AL45" i="19" s="1"/>
  <c r="AN44" i="19"/>
  <c r="AN45" i="19" s="1"/>
  <c r="AN39" i="19"/>
  <c r="AN40" i="19" s="1"/>
  <c r="AN34" i="19"/>
  <c r="AN35" i="19" s="1"/>
  <c r="AI39" i="19"/>
  <c r="AI40" i="19" s="1"/>
  <c r="AI44" i="19"/>
  <c r="AI45" i="19" s="1"/>
  <c r="AI34" i="19"/>
  <c r="AI35" i="19" s="1"/>
  <c r="AP34" i="19"/>
  <c r="AP35" i="19" s="1"/>
  <c r="AP44" i="19"/>
  <c r="AP45" i="19" s="1"/>
  <c r="AP39" i="19"/>
  <c r="AP40" i="19" s="1"/>
  <c r="AQ34" i="19"/>
  <c r="AQ35" i="19" s="1"/>
  <c r="AQ39" i="19"/>
  <c r="AQ40" i="19" s="1"/>
  <c r="AQ44" i="19"/>
  <c r="AQ45" i="19" s="1"/>
  <c r="AM34" i="19"/>
  <c r="AM35" i="19" s="1"/>
  <c r="AM44" i="19"/>
  <c r="AM45" i="19" s="1"/>
  <c r="AM39" i="19"/>
  <c r="AM40" i="19" s="1"/>
  <c r="AF7" i="9"/>
  <c r="AE7" i="9"/>
  <c r="AD7" i="9"/>
  <c r="AC7" i="9"/>
  <c r="AB7" i="9"/>
  <c r="AA7" i="9"/>
  <c r="Z7" i="9"/>
  <c r="Y7" i="9"/>
  <c r="X7" i="9"/>
  <c r="W7" i="9"/>
  <c r="V7" i="9"/>
  <c r="U7" i="9"/>
  <c r="T7" i="9"/>
  <c r="S7" i="9"/>
  <c r="R7" i="9"/>
  <c r="Q7" i="9"/>
  <c r="P7" i="9"/>
  <c r="O7" i="9"/>
  <c r="N7" i="9"/>
  <c r="M7" i="9"/>
  <c r="L7" i="9"/>
  <c r="K7" i="9"/>
  <c r="J7" i="9"/>
  <c r="I7" i="9"/>
  <c r="H7" i="9"/>
  <c r="G7" i="9"/>
  <c r="F7" i="9"/>
  <c r="E7" i="9"/>
  <c r="AF6" i="9"/>
  <c r="AE6" i="9"/>
  <c r="AD6" i="9"/>
  <c r="AC6" i="9"/>
  <c r="AB6" i="9"/>
  <c r="AA6" i="9"/>
  <c r="Z6" i="9"/>
  <c r="Y6" i="9"/>
  <c r="X6" i="9"/>
  <c r="W6" i="9"/>
  <c r="V6" i="9"/>
  <c r="U6" i="9"/>
  <c r="T6" i="9"/>
  <c r="S6" i="9"/>
  <c r="R6" i="9"/>
  <c r="Q6" i="9"/>
  <c r="P6" i="9"/>
  <c r="O6" i="9"/>
  <c r="N6" i="9"/>
  <c r="M6" i="9"/>
  <c r="L6" i="9"/>
  <c r="K6" i="9"/>
  <c r="J6" i="9"/>
  <c r="I6" i="9"/>
  <c r="H6" i="9"/>
  <c r="G6" i="9"/>
  <c r="F6" i="9"/>
  <c r="E6" i="9"/>
  <c r="A2" i="9"/>
  <c r="AF7" i="8"/>
  <c r="AE7" i="8"/>
  <c r="AD7" i="8"/>
  <c r="AC7" i="8"/>
  <c r="AB7" i="8"/>
  <c r="AA7" i="8"/>
  <c r="Z7" i="8"/>
  <c r="Y7" i="8"/>
  <c r="X7" i="8"/>
  <c r="W7" i="8"/>
  <c r="V7" i="8"/>
  <c r="U7" i="8"/>
  <c r="T7" i="8"/>
  <c r="S7" i="8"/>
  <c r="R7" i="8"/>
  <c r="Q7" i="8"/>
  <c r="P7" i="8"/>
  <c r="O7" i="8"/>
  <c r="N7" i="8"/>
  <c r="M7" i="8"/>
  <c r="L7" i="8"/>
  <c r="K7" i="8"/>
  <c r="J7" i="8"/>
  <c r="I7" i="8"/>
  <c r="H7" i="8"/>
  <c r="G7" i="8"/>
  <c r="F7" i="8"/>
  <c r="E7" i="8"/>
  <c r="AF6" i="8"/>
  <c r="AE6" i="8"/>
  <c r="AD6" i="8"/>
  <c r="AC6" i="8"/>
  <c r="AB6" i="8"/>
  <c r="AA6" i="8"/>
  <c r="Z6" i="8"/>
  <c r="Y6" i="8"/>
  <c r="X6" i="8"/>
  <c r="W6" i="8"/>
  <c r="V6" i="8"/>
  <c r="U6" i="8"/>
  <c r="T6" i="8"/>
  <c r="S6" i="8"/>
  <c r="R6" i="8"/>
  <c r="Q6" i="8"/>
  <c r="P6" i="8"/>
  <c r="O6" i="8"/>
  <c r="N6" i="8"/>
  <c r="M6" i="8"/>
  <c r="L6" i="8"/>
  <c r="K6" i="8"/>
  <c r="J6" i="8"/>
  <c r="I6" i="8"/>
  <c r="H6" i="8"/>
  <c r="G6" i="8"/>
  <c r="F6" i="8"/>
  <c r="E6" i="8"/>
  <c r="A2" i="8"/>
  <c r="AS22" i="9" l="1"/>
  <c r="AS25" i="9" s="1"/>
  <c r="AS21" i="9"/>
  <c r="AS24" i="9" s="1"/>
  <c r="AS15" i="8"/>
  <c r="AS10" i="8"/>
  <c r="AS14" i="8"/>
  <c r="AS11" i="8"/>
  <c r="V19" i="9"/>
  <c r="E19" i="9"/>
  <c r="W19" i="9"/>
  <c r="X19" i="9"/>
  <c r="O22" i="9"/>
  <c r="H22" i="9"/>
  <c r="AJ21" i="9"/>
  <c r="AJ24" i="9" s="1"/>
  <c r="Y21" i="9"/>
  <c r="Y24" i="9" s="1"/>
  <c r="AR22" i="9"/>
  <c r="AR25" i="9" s="1"/>
  <c r="AR29" i="9" s="1"/>
  <c r="AR33" i="9" s="1"/>
  <c r="AM22" i="9"/>
  <c r="AM25" i="9" s="1"/>
  <c r="AM29" i="9" s="1"/>
  <c r="AM33" i="9" s="1"/>
  <c r="AN21" i="9"/>
  <c r="AN24" i="9" s="1"/>
  <c r="AI21" i="9"/>
  <c r="AI24" i="9" s="1"/>
  <c r="AL22" i="9"/>
  <c r="AL25" i="9" s="1"/>
  <c r="AL29" i="9" s="1"/>
  <c r="AL33" i="9" s="1"/>
  <c r="V22" i="9"/>
  <c r="AG21" i="9"/>
  <c r="AG24" i="9" s="1"/>
  <c r="K21" i="9"/>
  <c r="K24" i="9" s="1"/>
  <c r="AA22" i="9"/>
  <c r="AF21" i="9"/>
  <c r="AF24" i="9" s="1"/>
  <c r="AK22" i="9"/>
  <c r="AK25" i="9" s="1"/>
  <c r="AK29" i="9" s="1"/>
  <c r="AK33" i="9" s="1"/>
  <c r="V21" i="9"/>
  <c r="V24" i="9" s="1"/>
  <c r="F21" i="9"/>
  <c r="F24" i="9" s="1"/>
  <c r="N22" i="9"/>
  <c r="AB21" i="9"/>
  <c r="AB24" i="9" s="1"/>
  <c r="W21" i="9"/>
  <c r="W24" i="9" s="1"/>
  <c r="E22" i="9"/>
  <c r="J22" i="9"/>
  <c r="Y22" i="9"/>
  <c r="AE22" i="9"/>
  <c r="AR21" i="9"/>
  <c r="AR24" i="9" s="1"/>
  <c r="AC22" i="9"/>
  <c r="W22" i="9"/>
  <c r="X21" i="9"/>
  <c r="X24" i="9" s="1"/>
  <c r="S21" i="9"/>
  <c r="S24" i="9" s="1"/>
  <c r="L21" i="9"/>
  <c r="L24" i="9" s="1"/>
  <c r="M22" i="9"/>
  <c r="H21" i="9"/>
  <c r="H24" i="9" s="1"/>
  <c r="AH21" i="9"/>
  <c r="AH24" i="9" s="1"/>
  <c r="Z21" i="9"/>
  <c r="Z24" i="9" s="1"/>
  <c r="AB22" i="9"/>
  <c r="R21" i="9"/>
  <c r="R24" i="9" s="1"/>
  <c r="L22" i="9"/>
  <c r="AA21" i="9"/>
  <c r="AA24" i="9" s="1"/>
  <c r="AQ22" i="9"/>
  <c r="AQ25" i="9" s="1"/>
  <c r="AQ29" i="9" s="1"/>
  <c r="AQ33" i="9" s="1"/>
  <c r="AI22" i="9"/>
  <c r="AI25" i="9" s="1"/>
  <c r="AI29" i="9" s="1"/>
  <c r="AI33" i="9" s="1"/>
  <c r="T22" i="9"/>
  <c r="N21" i="9"/>
  <c r="N24" i="9" s="1"/>
  <c r="P22" i="9"/>
  <c r="E21" i="9"/>
  <c r="E24" i="9" s="1"/>
  <c r="G22" i="9"/>
  <c r="AQ21" i="9"/>
  <c r="AQ24" i="9" s="1"/>
  <c r="AM21" i="9"/>
  <c r="AM24" i="9" s="1"/>
  <c r="Q21" i="9"/>
  <c r="Q24" i="9" s="1"/>
  <c r="G21" i="9"/>
  <c r="G24" i="9" s="1"/>
  <c r="AJ22" i="9"/>
  <c r="AJ25" i="9" s="1"/>
  <c r="AJ29" i="9" s="1"/>
  <c r="AJ33" i="9" s="1"/>
  <c r="O21" i="9"/>
  <c r="O24" i="9" s="1"/>
  <c r="AH22" i="9"/>
  <c r="AH25" i="9" s="1"/>
  <c r="AH29" i="9" s="1"/>
  <c r="AH33" i="9" s="1"/>
  <c r="U21" i="9"/>
  <c r="U24" i="9" s="1"/>
  <c r="P21" i="9"/>
  <c r="P24" i="9" s="1"/>
  <c r="AP22" i="9"/>
  <c r="AP25" i="9" s="1"/>
  <c r="AP29" i="9" s="1"/>
  <c r="AP33" i="9" s="1"/>
  <c r="J21" i="9"/>
  <c r="J24" i="9" s="1"/>
  <c r="AG22" i="9"/>
  <c r="AG25" i="9" s="1"/>
  <c r="AG29" i="9" s="1"/>
  <c r="AG33" i="9" s="1"/>
  <c r="AP21" i="9"/>
  <c r="AP24" i="9" s="1"/>
  <c r="AF22" i="9"/>
  <c r="AN22" i="9"/>
  <c r="AN25" i="9" s="1"/>
  <c r="AN29" i="9" s="1"/>
  <c r="AN33" i="9" s="1"/>
  <c r="X22" i="9"/>
  <c r="F22" i="9"/>
  <c r="K22" i="9"/>
  <c r="Z22" i="9"/>
  <c r="AE21" i="9"/>
  <c r="AE24" i="9" s="1"/>
  <c r="AO22" i="9"/>
  <c r="AO25" i="9" s="1"/>
  <c r="AO29" i="9" s="1"/>
  <c r="AO33" i="9" s="1"/>
  <c r="S22" i="9"/>
  <c r="M21" i="9"/>
  <c r="M24" i="9" s="1"/>
  <c r="AL21" i="9"/>
  <c r="AL24" i="9" s="1"/>
  <c r="U22" i="9"/>
  <c r="AO21" i="9"/>
  <c r="AO24" i="9" s="1"/>
  <c r="Q22" i="9"/>
  <c r="T21" i="9"/>
  <c r="T24" i="9" s="1"/>
  <c r="R22" i="9"/>
  <c r="AK21" i="9"/>
  <c r="AK24" i="9" s="1"/>
  <c r="AC21" i="9"/>
  <c r="AC24" i="9" s="1"/>
  <c r="Y19" i="9"/>
  <c r="Z19" i="9"/>
  <c r="U18" i="9"/>
  <c r="W18" i="9"/>
  <c r="AA19" i="9"/>
  <c r="R18" i="9"/>
  <c r="V18" i="9"/>
  <c r="L19" i="9"/>
  <c r="AB19" i="9"/>
  <c r="AC19" i="9"/>
  <c r="Q18" i="9"/>
  <c r="G19" i="9"/>
  <c r="I19" i="9"/>
  <c r="G18" i="9"/>
  <c r="J18" i="9"/>
  <c r="Z18" i="9"/>
  <c r="N19" i="9"/>
  <c r="AD19" i="9"/>
  <c r="S18" i="9"/>
  <c r="E18" i="9"/>
  <c r="K19" i="9"/>
  <c r="M19" i="9"/>
  <c r="K18" i="9"/>
  <c r="AA18" i="9"/>
  <c r="O19" i="9"/>
  <c r="AE19" i="9"/>
  <c r="I18" i="9"/>
  <c r="L18" i="9"/>
  <c r="AB18" i="9"/>
  <c r="P19" i="9"/>
  <c r="AF19" i="9"/>
  <c r="J19" i="9"/>
  <c r="AR10" i="8"/>
  <c r="AR15" i="8"/>
  <c r="AR14" i="8"/>
  <c r="AR11" i="8"/>
  <c r="M18" i="9"/>
  <c r="AC18" i="9"/>
  <c r="Q19" i="9"/>
  <c r="H19" i="9"/>
  <c r="F18" i="9"/>
  <c r="X18" i="9"/>
  <c r="N18" i="9"/>
  <c r="AD18" i="9"/>
  <c r="R19" i="9"/>
  <c r="U19" i="9"/>
  <c r="Y18" i="9"/>
  <c r="O18" i="9"/>
  <c r="AE18" i="9"/>
  <c r="S19" i="9"/>
  <c r="F19" i="9"/>
  <c r="T18" i="9"/>
  <c r="H18" i="9"/>
  <c r="P18" i="9"/>
  <c r="AF18" i="9"/>
  <c r="T19" i="9"/>
  <c r="E40" i="8"/>
  <c r="E48" i="8"/>
  <c r="E44" i="8"/>
  <c r="AD44" i="8"/>
  <c r="AD40" i="8"/>
  <c r="AD48" i="8"/>
  <c r="E15" i="8"/>
  <c r="X15" i="8"/>
  <c r="Y15" i="8"/>
  <c r="AC15" i="8"/>
  <c r="Q10" i="8"/>
  <c r="I10" i="8"/>
  <c r="AH15" i="8"/>
  <c r="AO10" i="8"/>
  <c r="Z10" i="8"/>
  <c r="R15" i="8"/>
  <c r="K15" i="8"/>
  <c r="V15" i="8"/>
  <c r="K10" i="8"/>
  <c r="M15" i="8"/>
  <c r="J15" i="8"/>
  <c r="AC10" i="8"/>
  <c r="V10" i="8"/>
  <c r="P15" i="8"/>
  <c r="AJ15" i="8"/>
  <c r="L15" i="8"/>
  <c r="AN15" i="8"/>
  <c r="AH10" i="8"/>
  <c r="U15" i="8"/>
  <c r="AI15" i="8"/>
  <c r="AM15" i="8"/>
  <c r="O15" i="8"/>
  <c r="U10" i="8"/>
  <c r="AK15" i="8"/>
  <c r="AK10" i="8"/>
  <c r="AA10" i="8"/>
  <c r="AB15" i="8"/>
  <c r="R10" i="8"/>
  <c r="S15" i="8"/>
  <c r="AP15" i="8"/>
  <c r="AP10" i="8"/>
  <c r="F15" i="8"/>
  <c r="H15" i="8"/>
  <c r="AQ15" i="8"/>
  <c r="AQ14" i="8"/>
  <c r="AH14" i="8"/>
  <c r="P10" i="8"/>
  <c r="AL10" i="8"/>
  <c r="L10" i="8"/>
  <c r="AG10" i="8"/>
  <c r="AF10" i="8"/>
  <c r="AO15" i="8"/>
  <c r="N10" i="8"/>
  <c r="AA15" i="8"/>
  <c r="I15" i="8"/>
  <c r="Q15" i="8"/>
  <c r="E10" i="8"/>
  <c r="AJ10" i="8"/>
  <c r="Z15" i="8"/>
  <c r="F10" i="8"/>
  <c r="AG15" i="8"/>
  <c r="AM10" i="8"/>
  <c r="AB10" i="8"/>
  <c r="S10" i="8"/>
  <c r="X10" i="8"/>
  <c r="W15" i="8"/>
  <c r="AQ10" i="8"/>
  <c r="AL15" i="8"/>
  <c r="Y10" i="8"/>
  <c r="M10" i="8"/>
  <c r="N15" i="8"/>
  <c r="J10" i="8"/>
  <c r="AF15" i="8"/>
  <c r="T10" i="8"/>
  <c r="AE15" i="8"/>
  <c r="W10" i="8"/>
  <c r="O10" i="8"/>
  <c r="AN10" i="8"/>
  <c r="AE10" i="8"/>
  <c r="AI10" i="8"/>
  <c r="H10" i="8"/>
  <c r="T15" i="8"/>
  <c r="J14" i="8"/>
  <c r="P14" i="8"/>
  <c r="T14" i="8"/>
  <c r="X14" i="8"/>
  <c r="W14" i="8"/>
  <c r="Y14" i="8"/>
  <c r="L14" i="8"/>
  <c r="U14" i="8"/>
  <c r="V14" i="8"/>
  <c r="Q14" i="8"/>
  <c r="AF14" i="8"/>
  <c r="AA14" i="8"/>
  <c r="AK14" i="8"/>
  <c r="AE14" i="8"/>
  <c r="K14" i="8"/>
  <c r="M14" i="8"/>
  <c r="O14" i="8"/>
  <c r="R14" i="8"/>
  <c r="AL14" i="8"/>
  <c r="S14" i="8"/>
  <c r="AO14" i="8"/>
  <c r="N14" i="8"/>
  <c r="AJ14" i="8"/>
  <c r="AB14" i="8"/>
  <c r="F14" i="8"/>
  <c r="AI14" i="8"/>
  <c r="AG14" i="8"/>
  <c r="AC14" i="8"/>
  <c r="E14" i="8"/>
  <c r="Z14" i="8"/>
  <c r="AN14" i="8"/>
  <c r="AP14" i="8"/>
  <c r="AM14" i="8"/>
  <c r="H14" i="8"/>
  <c r="I14" i="8"/>
  <c r="N11" i="8"/>
  <c r="AG11" i="8"/>
  <c r="AC11" i="8"/>
  <c r="K11" i="8"/>
  <c r="Q11" i="8"/>
  <c r="V11" i="8"/>
  <c r="T11" i="8"/>
  <c r="AK11" i="8"/>
  <c r="AQ11" i="8"/>
  <c r="AF11" i="8"/>
  <c r="Z11" i="8"/>
  <c r="AH11" i="8"/>
  <c r="M11" i="8"/>
  <c r="E11" i="8"/>
  <c r="E33" i="8" s="1"/>
  <c r="AB11" i="8"/>
  <c r="O11" i="8"/>
  <c r="AP11" i="8"/>
  <c r="L11" i="8"/>
  <c r="AE11" i="8"/>
  <c r="U11" i="8"/>
  <c r="AI11" i="8"/>
  <c r="AM11" i="8"/>
  <c r="S11" i="8"/>
  <c r="AN11" i="8"/>
  <c r="AA11" i="8"/>
  <c r="AJ11" i="8"/>
  <c r="W11" i="8"/>
  <c r="J11" i="8"/>
  <c r="Y11" i="8"/>
  <c r="X11" i="8"/>
  <c r="F11" i="8"/>
  <c r="H11" i="8"/>
  <c r="AL11" i="8"/>
  <c r="R11" i="8"/>
  <c r="P11" i="8"/>
  <c r="AO11" i="8"/>
  <c r="I11" i="8"/>
  <c r="G44" i="8"/>
  <c r="G48" i="8"/>
  <c r="G40" i="8"/>
  <c r="AD45" i="10"/>
  <c r="V25" i="9" l="1"/>
  <c r="V29" i="9" s="1"/>
  <c r="V33" i="9" s="1"/>
  <c r="N25" i="9"/>
  <c r="N26" i="9" s="1"/>
  <c r="AE25" i="9"/>
  <c r="Y25" i="9"/>
  <c r="Y26" i="9" s="1"/>
  <c r="AS28" i="9"/>
  <c r="AS32" i="9" s="1"/>
  <c r="S25" i="9"/>
  <c r="S26" i="9" s="1"/>
  <c r="AB25" i="9"/>
  <c r="AB26" i="9" s="1"/>
  <c r="AS26" i="9"/>
  <c r="AS29" i="9"/>
  <c r="AS33" i="9" s="1"/>
  <c r="AS51" i="10" s="1"/>
  <c r="AS36" i="8"/>
  <c r="AS30" i="8"/>
  <c r="AS33" i="8"/>
  <c r="AS20" i="8"/>
  <c r="AS23" i="8"/>
  <c r="AS26" i="8"/>
  <c r="AS25" i="8"/>
  <c r="AS19" i="8"/>
  <c r="AS22" i="8"/>
  <c r="AS34" i="8"/>
  <c r="AS37" i="8"/>
  <c r="AS31" i="8"/>
  <c r="Z25" i="9"/>
  <c r="Z29" i="9" s="1"/>
  <c r="Z33" i="9" s="1"/>
  <c r="X25" i="9"/>
  <c r="X29" i="9" s="1"/>
  <c r="X33" i="9" s="1"/>
  <c r="W25" i="9"/>
  <c r="W29" i="9" s="1"/>
  <c r="W33" i="9" s="1"/>
  <c r="H25" i="9"/>
  <c r="H26" i="9" s="1"/>
  <c r="Q25" i="9"/>
  <c r="Q26" i="9" s="1"/>
  <c r="J28" i="9"/>
  <c r="J29" i="9" s="1"/>
  <c r="AI26" i="9"/>
  <c r="AI28" i="9"/>
  <c r="M25" i="9"/>
  <c r="M26" i="9" s="1"/>
  <c r="AO26" i="9"/>
  <c r="AO28" i="9"/>
  <c r="AN26" i="9"/>
  <c r="AN28" i="9"/>
  <c r="U25" i="9"/>
  <c r="U29" i="9" s="1"/>
  <c r="U33" i="9" s="1"/>
  <c r="P28" i="9"/>
  <c r="P32" i="9" s="1"/>
  <c r="AA28" i="9"/>
  <c r="K25" i="9"/>
  <c r="K26" i="9" s="1"/>
  <c r="I25" i="9"/>
  <c r="I26" i="9" s="1"/>
  <c r="I29" i="9"/>
  <c r="AL26" i="9"/>
  <c r="AL28" i="9"/>
  <c r="U28" i="9"/>
  <c r="M28" i="9"/>
  <c r="M32" i="9" s="1"/>
  <c r="R28" i="9"/>
  <c r="W28" i="9"/>
  <c r="Y28" i="9"/>
  <c r="G25" i="9"/>
  <c r="G26" i="9" s="1"/>
  <c r="O28" i="9"/>
  <c r="O29" i="9" s="1"/>
  <c r="AB28" i="9"/>
  <c r="AB32" i="9" s="1"/>
  <c r="AJ26" i="9"/>
  <c r="AJ28" i="9"/>
  <c r="Z28" i="9"/>
  <c r="AE28" i="9"/>
  <c r="G28" i="9"/>
  <c r="G29" i="9" s="1"/>
  <c r="AH26" i="9"/>
  <c r="AH28" i="9"/>
  <c r="F28" i="9"/>
  <c r="F29" i="9" s="1"/>
  <c r="O25" i="9"/>
  <c r="O26" i="9" s="1"/>
  <c r="AR30" i="8"/>
  <c r="AR33" i="8"/>
  <c r="AR36" i="8"/>
  <c r="Q28" i="9"/>
  <c r="H28" i="9"/>
  <c r="H29" i="9" s="1"/>
  <c r="V28" i="9"/>
  <c r="V32" i="9" s="1"/>
  <c r="AR26" i="8"/>
  <c r="AR23" i="8"/>
  <c r="AR20" i="8"/>
  <c r="AD25" i="9"/>
  <c r="AD26" i="9" s="1"/>
  <c r="AM26" i="9"/>
  <c r="AM28" i="9"/>
  <c r="AR34" i="8"/>
  <c r="AR31" i="8"/>
  <c r="AR37" i="8"/>
  <c r="AQ26" i="9"/>
  <c r="AQ28" i="9"/>
  <c r="L28" i="9"/>
  <c r="L29" i="9" s="1"/>
  <c r="AF28" i="9"/>
  <c r="AF32" i="9" s="1"/>
  <c r="F25" i="9"/>
  <c r="F26" i="9" s="1"/>
  <c r="AR19" i="8"/>
  <c r="AR25" i="8"/>
  <c r="AR22" i="8"/>
  <c r="S28" i="9"/>
  <c r="S32" i="9" s="1"/>
  <c r="AA25" i="9"/>
  <c r="AA26" i="9" s="1"/>
  <c r="AC28" i="9"/>
  <c r="E28" i="9"/>
  <c r="E29" i="9" s="1"/>
  <c r="X28" i="9"/>
  <c r="X32" i="9" s="1"/>
  <c r="K28" i="9"/>
  <c r="K29" i="9" s="1"/>
  <c r="J25" i="9"/>
  <c r="J26" i="9" s="1"/>
  <c r="L25" i="9"/>
  <c r="L26" i="9" s="1"/>
  <c r="AK26" i="9"/>
  <c r="AK28" i="9"/>
  <c r="AF25" i="9"/>
  <c r="AF26" i="9" s="1"/>
  <c r="P25" i="9"/>
  <c r="P26" i="9" s="1"/>
  <c r="AG26" i="9"/>
  <c r="AG28" i="9"/>
  <c r="E25" i="9"/>
  <c r="E26" i="9" s="1"/>
  <c r="R25" i="9"/>
  <c r="R26" i="9" s="1"/>
  <c r="AP26" i="9"/>
  <c r="AP28" i="9"/>
  <c r="N28" i="9"/>
  <c r="N29" i="9" s="1"/>
  <c r="AC25" i="9"/>
  <c r="AC29" i="9" s="1"/>
  <c r="AC33" i="9" s="1"/>
  <c r="T28" i="9"/>
  <c r="T25" i="9"/>
  <c r="T26" i="9" s="1"/>
  <c r="AR26" i="9"/>
  <c r="AR28" i="9"/>
  <c r="G45" i="8"/>
  <c r="G23" i="10"/>
  <c r="G24" i="10" s="1"/>
  <c r="G49" i="8"/>
  <c r="G27" i="10"/>
  <c r="AD49" i="8"/>
  <c r="AD27" i="10"/>
  <c r="AD28" i="10" s="1"/>
  <c r="AA36" i="21" s="1"/>
  <c r="AA38" i="21" s="1"/>
  <c r="AD41" i="8"/>
  <c r="AD19" i="10"/>
  <c r="AD20" i="10" s="1"/>
  <c r="AA30" i="21" s="1"/>
  <c r="AA32" i="21" s="1"/>
  <c r="G41" i="8"/>
  <c r="G19" i="10"/>
  <c r="G20" i="10" s="1"/>
  <c r="AD45" i="8"/>
  <c r="AD23" i="10"/>
  <c r="AD24" i="10" s="1"/>
  <c r="AA33" i="21" s="1"/>
  <c r="AA35" i="21" s="1"/>
  <c r="E45" i="8"/>
  <c r="E23" i="10"/>
  <c r="E49" i="8"/>
  <c r="E27" i="10"/>
  <c r="E41" i="8"/>
  <c r="E19" i="10"/>
  <c r="AA23" i="8"/>
  <c r="AA26" i="8"/>
  <c r="AA20" i="8"/>
  <c r="AO19" i="8"/>
  <c r="AO22" i="8"/>
  <c r="AO25" i="8"/>
  <c r="U31" i="8"/>
  <c r="U37" i="8"/>
  <c r="U34" i="8"/>
  <c r="AH34" i="8"/>
  <c r="AH31" i="8"/>
  <c r="AH37" i="8"/>
  <c r="AQ26" i="8"/>
  <c r="AQ20" i="8"/>
  <c r="AQ23" i="8"/>
  <c r="H37" i="8"/>
  <c r="H31" i="8"/>
  <c r="H34" i="8"/>
  <c r="AN37" i="8"/>
  <c r="AN31" i="8"/>
  <c r="AN34" i="8"/>
  <c r="Q22" i="8"/>
  <c r="Q19" i="8"/>
  <c r="Q25" i="8"/>
  <c r="AQ33" i="8"/>
  <c r="AQ36" i="8"/>
  <c r="AQ30" i="8"/>
  <c r="AN33" i="8"/>
  <c r="AN30" i="8"/>
  <c r="AN36" i="8"/>
  <c r="AI20" i="8"/>
  <c r="AI23" i="8"/>
  <c r="AI26" i="8"/>
  <c r="F34" i="8"/>
  <c r="F31" i="8"/>
  <c r="F37" i="8"/>
  <c r="L37" i="8"/>
  <c r="L31" i="8"/>
  <c r="L34" i="8"/>
  <c r="AC31" i="8"/>
  <c r="AC34" i="8"/>
  <c r="AC37" i="8"/>
  <c r="AG23" i="8"/>
  <c r="AG26" i="8"/>
  <c r="AG20" i="8"/>
  <c r="V26" i="8"/>
  <c r="V20" i="8"/>
  <c r="V23" i="8"/>
  <c r="AJ26" i="8"/>
  <c r="AJ23" i="8"/>
  <c r="AJ20" i="8"/>
  <c r="AP19" i="8"/>
  <c r="AP22" i="8"/>
  <c r="AP25" i="8"/>
  <c r="AJ34" i="8"/>
  <c r="AJ37" i="8"/>
  <c r="AJ31" i="8"/>
  <c r="Y34" i="8"/>
  <c r="Y37" i="8"/>
  <c r="Y31" i="8"/>
  <c r="AH26" i="8"/>
  <c r="AH23" i="8"/>
  <c r="AH20" i="8"/>
  <c r="F25" i="8"/>
  <c r="F22" i="8"/>
  <c r="F19" i="8"/>
  <c r="AJ22" i="8"/>
  <c r="AJ25" i="8"/>
  <c r="AJ19" i="8"/>
  <c r="AC33" i="8"/>
  <c r="AC36" i="8"/>
  <c r="AC30" i="8"/>
  <c r="J25" i="8"/>
  <c r="J22" i="8"/>
  <c r="J19" i="8"/>
  <c r="Q31" i="8"/>
  <c r="Q37" i="8"/>
  <c r="Q34" i="8"/>
  <c r="AP37" i="8"/>
  <c r="AP31" i="8"/>
  <c r="AP34" i="8"/>
  <c r="P31" i="8"/>
  <c r="P37" i="8"/>
  <c r="P34" i="8"/>
  <c r="X31" i="8"/>
  <c r="X37" i="8"/>
  <c r="X34" i="8"/>
  <c r="AN22" i="8"/>
  <c r="AN25" i="8"/>
  <c r="AN19" i="8"/>
  <c r="W22" i="8"/>
  <c r="W25" i="8"/>
  <c r="W19" i="8"/>
  <c r="V33" i="8"/>
  <c r="V36" i="8"/>
  <c r="V30" i="8"/>
  <c r="AF37" i="8"/>
  <c r="AF34" i="8"/>
  <c r="AF31" i="8"/>
  <c r="AO23" i="8"/>
  <c r="AO20" i="8"/>
  <c r="AO26" i="8"/>
  <c r="N37" i="8"/>
  <c r="N34" i="8"/>
  <c r="N31" i="8"/>
  <c r="I37" i="8"/>
  <c r="I31" i="8"/>
  <c r="I34" i="8"/>
  <c r="S34" i="8"/>
  <c r="S37" i="8"/>
  <c r="S31" i="8"/>
  <c r="V19" i="8"/>
  <c r="V25" i="8"/>
  <c r="V22" i="8"/>
  <c r="AG31" i="8"/>
  <c r="AG34" i="8"/>
  <c r="AG37" i="8"/>
  <c r="Z31" i="8"/>
  <c r="Z34" i="8"/>
  <c r="Z37" i="8"/>
  <c r="L26" i="8"/>
  <c r="L20" i="8"/>
  <c r="L23" i="8"/>
  <c r="AG33" i="8"/>
  <c r="AG30" i="8"/>
  <c r="AG36" i="8"/>
  <c r="X20" i="8"/>
  <c r="X23" i="8"/>
  <c r="X26" i="8"/>
  <c r="M22" i="8"/>
  <c r="M25" i="8"/>
  <c r="M19" i="8"/>
  <c r="AA31" i="8"/>
  <c r="AA34" i="8"/>
  <c r="AA37" i="8"/>
  <c r="R19" i="8"/>
  <c r="R22" i="8"/>
  <c r="R25" i="8"/>
  <c r="AC22" i="8"/>
  <c r="AC19" i="8"/>
  <c r="AC25" i="8"/>
  <c r="AK33" i="8"/>
  <c r="AK36" i="8"/>
  <c r="AK30" i="8"/>
  <c r="T33" i="8"/>
  <c r="T30" i="8"/>
  <c r="T36" i="8"/>
  <c r="T22" i="8"/>
  <c r="T19" i="8"/>
  <c r="T25" i="8"/>
  <c r="AE33" i="8"/>
  <c r="AE36" i="8"/>
  <c r="AE30" i="8"/>
  <c r="AL20" i="8"/>
  <c r="AL26" i="8"/>
  <c r="AL23" i="8"/>
  <c r="T23" i="8"/>
  <c r="T20" i="8"/>
  <c r="T26" i="8"/>
  <c r="Y22" i="8"/>
  <c r="Y19" i="8"/>
  <c r="Y25" i="8"/>
  <c r="N22" i="8"/>
  <c r="N19" i="8"/>
  <c r="N25" i="8"/>
  <c r="AB31" i="8"/>
  <c r="AB34" i="8"/>
  <c r="AB37" i="8"/>
  <c r="J34" i="8"/>
  <c r="J37" i="8"/>
  <c r="J31" i="8"/>
  <c r="AF23" i="8"/>
  <c r="AF26" i="8"/>
  <c r="AF20" i="8"/>
  <c r="AE34" i="8"/>
  <c r="AE37" i="8"/>
  <c r="AE31" i="8"/>
  <c r="K33" i="8"/>
  <c r="K36" i="8"/>
  <c r="K30" i="8"/>
  <c r="N33" i="8"/>
  <c r="N36" i="8"/>
  <c r="N30" i="8"/>
  <c r="AB33" i="8"/>
  <c r="AB36" i="8"/>
  <c r="AB30" i="8"/>
  <c r="AL34" i="8"/>
  <c r="AL37" i="8"/>
  <c r="AL31" i="8"/>
  <c r="AO37" i="8"/>
  <c r="AO34" i="8"/>
  <c r="AO31" i="8"/>
  <c r="AA22" i="8"/>
  <c r="AA25" i="8"/>
  <c r="AA19" i="8"/>
  <c r="M34" i="8"/>
  <c r="M31" i="8"/>
  <c r="M37" i="8"/>
  <c r="AC26" i="8"/>
  <c r="AC20" i="8"/>
  <c r="AC23" i="8"/>
  <c r="I25" i="8"/>
  <c r="I22" i="8"/>
  <c r="I19" i="8"/>
  <c r="U26" i="8"/>
  <c r="U20" i="8"/>
  <c r="U23" i="8"/>
  <c r="N20" i="8"/>
  <c r="N23" i="8"/>
  <c r="N26" i="8"/>
  <c r="AP33" i="8"/>
  <c r="AP36" i="8"/>
  <c r="AP30" i="8"/>
  <c r="X33" i="8"/>
  <c r="X30" i="8"/>
  <c r="X36" i="8"/>
  <c r="O20" i="8"/>
  <c r="O26" i="8"/>
  <c r="O23" i="8"/>
  <c r="J26" i="8"/>
  <c r="J23" i="8"/>
  <c r="J20" i="8"/>
  <c r="AQ25" i="8"/>
  <c r="AQ19" i="8"/>
  <c r="AQ22" i="8"/>
  <c r="AF25" i="8"/>
  <c r="AF22" i="8"/>
  <c r="AF19" i="8"/>
  <c r="AK25" i="8"/>
  <c r="AK19" i="8"/>
  <c r="AK22" i="8"/>
  <c r="K19" i="8"/>
  <c r="K22" i="8"/>
  <c r="K25" i="8"/>
  <c r="AM22" i="8"/>
  <c r="AM25" i="8"/>
  <c r="AM19" i="8"/>
  <c r="AH19" i="8"/>
  <c r="AH22" i="8"/>
  <c r="AH25" i="8"/>
  <c r="Q33" i="8"/>
  <c r="Q30" i="8"/>
  <c r="Q36" i="8"/>
  <c r="Y20" i="8"/>
  <c r="Y23" i="8"/>
  <c r="Y26" i="8"/>
  <c r="S26" i="8"/>
  <c r="S20" i="8"/>
  <c r="S23" i="8"/>
  <c r="P26" i="8"/>
  <c r="P20" i="8"/>
  <c r="P23" i="8"/>
  <c r="Y33" i="8"/>
  <c r="Y30" i="8"/>
  <c r="Y36" i="8"/>
  <c r="AP26" i="8"/>
  <c r="AP23" i="8"/>
  <c r="AP20" i="8"/>
  <c r="M23" i="8"/>
  <c r="M26" i="8"/>
  <c r="M20" i="8"/>
  <c r="T31" i="8"/>
  <c r="T37" i="8"/>
  <c r="T34" i="8"/>
  <c r="W31" i="8"/>
  <c r="W37" i="8"/>
  <c r="W34" i="8"/>
  <c r="AG25" i="8"/>
  <c r="AG19" i="8"/>
  <c r="AG22" i="8"/>
  <c r="AK31" i="8"/>
  <c r="AK37" i="8"/>
  <c r="AK34" i="8"/>
  <c r="V34" i="8"/>
  <c r="V37" i="8"/>
  <c r="V31" i="8"/>
  <c r="O25" i="8"/>
  <c r="O19" i="8"/>
  <c r="O22" i="8"/>
  <c r="S33" i="8"/>
  <c r="S36" i="8"/>
  <c r="S30" i="8"/>
  <c r="AM33" i="8"/>
  <c r="AM36" i="8"/>
  <c r="AM30" i="8"/>
  <c r="AI33" i="8"/>
  <c r="AI30" i="8"/>
  <c r="AI36" i="8"/>
  <c r="W26" i="8"/>
  <c r="W23" i="8"/>
  <c r="W20" i="8"/>
  <c r="I26" i="8"/>
  <c r="I20" i="8"/>
  <c r="I23" i="8"/>
  <c r="H20" i="8"/>
  <c r="H26" i="8"/>
  <c r="H23" i="8"/>
  <c r="M33" i="8"/>
  <c r="M36" i="8"/>
  <c r="M30" i="8"/>
  <c r="J33" i="8"/>
  <c r="J30" i="8"/>
  <c r="J36" i="8"/>
  <c r="AH33" i="8"/>
  <c r="AH36" i="8"/>
  <c r="AH30" i="8"/>
  <c r="AN23" i="8"/>
  <c r="AN26" i="8"/>
  <c r="AN20" i="8"/>
  <c r="K23" i="8"/>
  <c r="K26" i="8"/>
  <c r="K20" i="8"/>
  <c r="H19" i="8"/>
  <c r="H25" i="8"/>
  <c r="H22" i="8"/>
  <c r="X22" i="8"/>
  <c r="X25" i="8"/>
  <c r="X19" i="8"/>
  <c r="L19" i="8"/>
  <c r="L22" i="8"/>
  <c r="L25" i="8"/>
  <c r="U19" i="8"/>
  <c r="U22" i="8"/>
  <c r="U25" i="8"/>
  <c r="K34" i="8"/>
  <c r="K37" i="8"/>
  <c r="K31" i="8"/>
  <c r="AA33" i="8"/>
  <c r="AA36" i="8"/>
  <c r="AA30" i="8"/>
  <c r="Q23" i="8"/>
  <c r="Q20" i="8"/>
  <c r="Q26" i="8"/>
  <c r="F23" i="8"/>
  <c r="F20" i="8"/>
  <c r="F26" i="8"/>
  <c r="I33" i="8"/>
  <c r="I30" i="8"/>
  <c r="I36" i="8"/>
  <c r="U33" i="8"/>
  <c r="U30" i="8"/>
  <c r="U36" i="8"/>
  <c r="L33" i="8"/>
  <c r="L30" i="8"/>
  <c r="L36" i="8"/>
  <c r="AL33" i="8"/>
  <c r="AL30" i="8"/>
  <c r="AL36" i="8"/>
  <c r="O33" i="8"/>
  <c r="O30" i="8"/>
  <c r="O36" i="8"/>
  <c r="F33" i="8"/>
  <c r="F36" i="8"/>
  <c r="F30" i="8"/>
  <c r="AM20" i="8"/>
  <c r="AM23" i="8"/>
  <c r="AM26" i="8"/>
  <c r="W33" i="8"/>
  <c r="W36" i="8"/>
  <c r="W30" i="8"/>
  <c r="Z33" i="8"/>
  <c r="Z36" i="8"/>
  <c r="Z30" i="8"/>
  <c r="Z20" i="8"/>
  <c r="Z26" i="8"/>
  <c r="Z23" i="8"/>
  <c r="AE20" i="8"/>
  <c r="AE26" i="8"/>
  <c r="AE23" i="8"/>
  <c r="AI19" i="8"/>
  <c r="AI25" i="8"/>
  <c r="AI22" i="8"/>
  <c r="S25" i="8"/>
  <c r="S22" i="8"/>
  <c r="S19" i="8"/>
  <c r="AL25" i="8"/>
  <c r="AL22" i="8"/>
  <c r="AL19" i="8"/>
  <c r="O34" i="8"/>
  <c r="O37" i="8"/>
  <c r="O31" i="8"/>
  <c r="R34" i="8"/>
  <c r="R31" i="8"/>
  <c r="R37" i="8"/>
  <c r="AI34" i="8"/>
  <c r="AI37" i="8"/>
  <c r="AI31" i="8"/>
  <c r="AQ31" i="8"/>
  <c r="AQ37" i="8"/>
  <c r="AQ34" i="8"/>
  <c r="AB23" i="8"/>
  <c r="AB26" i="8"/>
  <c r="AB20" i="8"/>
  <c r="AO33" i="8"/>
  <c r="AO36" i="8"/>
  <c r="AO30" i="8"/>
  <c r="P33" i="8"/>
  <c r="P30" i="8"/>
  <c r="P36" i="8"/>
  <c r="R33" i="8"/>
  <c r="R30" i="8"/>
  <c r="R36" i="8"/>
  <c r="H33" i="8"/>
  <c r="H30" i="8"/>
  <c r="H36" i="8"/>
  <c r="R20" i="8"/>
  <c r="R26" i="8"/>
  <c r="R23" i="8"/>
  <c r="AJ33" i="8"/>
  <c r="AJ30" i="8"/>
  <c r="AJ36" i="8"/>
  <c r="AF33" i="8"/>
  <c r="AF30" i="8"/>
  <c r="AF36" i="8"/>
  <c r="AK23" i="8"/>
  <c r="AK20" i="8"/>
  <c r="AK26" i="8"/>
  <c r="AE22" i="8"/>
  <c r="AE25" i="8"/>
  <c r="AE19" i="8"/>
  <c r="AB25" i="8"/>
  <c r="AB22" i="8"/>
  <c r="AB19" i="8"/>
  <c r="P25" i="8"/>
  <c r="P19" i="8"/>
  <c r="P22" i="8"/>
  <c r="AM34" i="8"/>
  <c r="AM37" i="8"/>
  <c r="AM31" i="8"/>
  <c r="Z22" i="8"/>
  <c r="Z19" i="8"/>
  <c r="Z25" i="8"/>
  <c r="AR51" i="10"/>
  <c r="AJ51" i="10"/>
  <c r="AJ46" i="10"/>
  <c r="AQ51" i="10"/>
  <c r="AM51" i="10"/>
  <c r="AI51" i="10"/>
  <c r="AP51" i="10"/>
  <c r="AO51" i="10"/>
  <c r="AN51" i="10"/>
  <c r="AK51" i="10"/>
  <c r="AG51" i="10"/>
  <c r="AG46" i="10"/>
  <c r="AE26" i="9" l="1"/>
  <c r="AE29" i="9"/>
  <c r="V26" i="9"/>
  <c r="AL48" i="8"/>
  <c r="AL27" i="10" s="1"/>
  <c r="AL39" i="8"/>
  <c r="AL18" i="10" s="1"/>
  <c r="Z26" i="9"/>
  <c r="S29" i="9"/>
  <c r="S33" i="9" s="1"/>
  <c r="S34" i="9" s="1"/>
  <c r="N33" i="9"/>
  <c r="AB29" i="9"/>
  <c r="AB33" i="9" s="1"/>
  <c r="AB34" i="9" s="1"/>
  <c r="Y29" i="9"/>
  <c r="Y33" i="9" s="1"/>
  <c r="AM44" i="8"/>
  <c r="AM23" i="10" s="1"/>
  <c r="AA47" i="8"/>
  <c r="AA26" i="10" s="1"/>
  <c r="AA43" i="8"/>
  <c r="AA22" i="10" s="1"/>
  <c r="AG47" i="8"/>
  <c r="AG26" i="10" s="1"/>
  <c r="AG39" i="8"/>
  <c r="AG18" i="10" s="1"/>
  <c r="AA39" i="8"/>
  <c r="AA18" i="10" s="1"/>
  <c r="J32" i="9"/>
  <c r="AI47" i="8"/>
  <c r="AI26" i="10" s="1"/>
  <c r="AP44" i="8"/>
  <c r="AP23" i="10" s="1"/>
  <c r="AA39" i="21"/>
  <c r="K33" i="9"/>
  <c r="U48" i="8"/>
  <c r="U27" i="10" s="1"/>
  <c r="O33" i="9"/>
  <c r="Y40" i="8"/>
  <c r="Y19" i="10" s="1"/>
  <c r="X26" i="9"/>
  <c r="AA48" i="8"/>
  <c r="AA27" i="10" s="1"/>
  <c r="AJ44" i="8"/>
  <c r="AJ23" i="10" s="1"/>
  <c r="U40" i="8"/>
  <c r="U19" i="10" s="1"/>
  <c r="AS40" i="8"/>
  <c r="AS19" i="10" s="1"/>
  <c r="AS43" i="8"/>
  <c r="AS22" i="10" s="1"/>
  <c r="AS39" i="8"/>
  <c r="AS46" i="10"/>
  <c r="W26" i="9"/>
  <c r="AS34" i="9"/>
  <c r="AS50" i="10"/>
  <c r="AS52" i="10" s="1"/>
  <c r="AP41" i="21" s="1"/>
  <c r="AS30" i="9"/>
  <c r="AS45" i="10"/>
  <c r="AS47" i="8"/>
  <c r="AS44" i="8"/>
  <c r="AS23" i="10" s="1"/>
  <c r="AC40" i="8"/>
  <c r="AC19" i="10" s="1"/>
  <c r="AS48" i="8"/>
  <c r="AS27" i="10" s="1"/>
  <c r="V39" i="8"/>
  <c r="V18" i="10" s="1"/>
  <c r="AJ48" i="8"/>
  <c r="AJ27" i="10" s="1"/>
  <c r="AJ40" i="8"/>
  <c r="AJ19" i="10" s="1"/>
  <c r="Z48" i="8"/>
  <c r="Z27" i="10" s="1"/>
  <c r="H33" i="9"/>
  <c r="Z40" i="8"/>
  <c r="Z19" i="10" s="1"/>
  <c r="AA40" i="8"/>
  <c r="AA19" i="10" s="1"/>
  <c r="AB40" i="8"/>
  <c r="AB19" i="10" s="1"/>
  <c r="AB48" i="8"/>
  <c r="AB27" i="10" s="1"/>
  <c r="AA44" i="8"/>
  <c r="AA23" i="10" s="1"/>
  <c r="X48" i="8"/>
  <c r="X27" i="10" s="1"/>
  <c r="X40" i="8"/>
  <c r="X19" i="10" s="1"/>
  <c r="AL40" i="8"/>
  <c r="AL19" i="10" s="1"/>
  <c r="AL20" i="10" s="1"/>
  <c r="W44" i="8"/>
  <c r="W23" i="10" s="1"/>
  <c r="E33" i="9"/>
  <c r="K47" i="8"/>
  <c r="K26" i="10" s="1"/>
  <c r="AN39" i="8"/>
  <c r="AN18" i="10" s="1"/>
  <c r="AH39" i="8"/>
  <c r="AH18" i="10" s="1"/>
  <c r="X39" i="8"/>
  <c r="X18" i="10" s="1"/>
  <c r="AO40" i="8"/>
  <c r="AO19" i="10" s="1"/>
  <c r="X47" i="8"/>
  <c r="X26" i="10" s="1"/>
  <c r="AF48" i="8"/>
  <c r="AF27" i="10" s="1"/>
  <c r="AF44" i="8"/>
  <c r="AF23" i="10" s="1"/>
  <c r="X43" i="8"/>
  <c r="X22" i="10" s="1"/>
  <c r="O47" i="8"/>
  <c r="O26" i="10" s="1"/>
  <c r="T29" i="9"/>
  <c r="T33" i="9" s="1"/>
  <c r="J33" i="9"/>
  <c r="U26" i="9"/>
  <c r="Q29" i="9"/>
  <c r="Q33" i="9" s="1"/>
  <c r="AK47" i="8"/>
  <c r="AK26" i="10" s="1"/>
  <c r="AF29" i="9"/>
  <c r="AF33" i="9" s="1"/>
  <c r="AF34" i="9" s="1"/>
  <c r="G33" i="9"/>
  <c r="AI44" i="8"/>
  <c r="AI23" i="10" s="1"/>
  <c r="AG43" i="8"/>
  <c r="AG48" i="8"/>
  <c r="AG27" i="10" s="1"/>
  <c r="AF40" i="8"/>
  <c r="AF19" i="10" s="1"/>
  <c r="AC47" i="8"/>
  <c r="AC26" i="10" s="1"/>
  <c r="X34" i="9"/>
  <c r="AM47" i="8"/>
  <c r="AM26" i="10" s="1"/>
  <c r="I39" i="8"/>
  <c r="I18" i="10" s="1"/>
  <c r="AC39" i="8"/>
  <c r="AN44" i="8"/>
  <c r="AN23" i="10" s="1"/>
  <c r="X30" i="9"/>
  <c r="AD29" i="9"/>
  <c r="AD46" i="10" s="1"/>
  <c r="AD47" i="10" s="1"/>
  <c r="L33" i="9"/>
  <c r="AC26" i="9"/>
  <c r="U32" i="9"/>
  <c r="U34" i="9" s="1"/>
  <c r="U30" i="9"/>
  <c r="AC30" i="9"/>
  <c r="G32" i="9"/>
  <c r="G30" i="9"/>
  <c r="N32" i="9"/>
  <c r="N30" i="9"/>
  <c r="AE32" i="9"/>
  <c r="AL32" i="9"/>
  <c r="AL34" i="9" s="1"/>
  <c r="AL30" i="9"/>
  <c r="Y32" i="9"/>
  <c r="AI32" i="9"/>
  <c r="AI34" i="9" s="1"/>
  <c r="AI30" i="9"/>
  <c r="AP32" i="9"/>
  <c r="AP34" i="9" s="1"/>
  <c r="AP30" i="9"/>
  <c r="AR39" i="8"/>
  <c r="R29" i="9"/>
  <c r="R33" i="9" s="1"/>
  <c r="AA29" i="9"/>
  <c r="AA33" i="9" s="1"/>
  <c r="F33" i="9"/>
  <c r="F46" i="10"/>
  <c r="AR43" i="8"/>
  <c r="Z32" i="9"/>
  <c r="Z34" i="9" s="1"/>
  <c r="Z30" i="9"/>
  <c r="W32" i="9"/>
  <c r="W34" i="9" s="1"/>
  <c r="W30" i="9"/>
  <c r="I33" i="9"/>
  <c r="I34" i="9" s="1"/>
  <c r="I30" i="9"/>
  <c r="V44" i="8"/>
  <c r="V23" i="10" s="1"/>
  <c r="AN48" i="8"/>
  <c r="AN27" i="10" s="1"/>
  <c r="AR47" i="8"/>
  <c r="J30" i="9"/>
  <c r="AM39" i="8"/>
  <c r="AM18" i="10" s="1"/>
  <c r="T43" i="8"/>
  <c r="AG40" i="8"/>
  <c r="AG19" i="10" s="1"/>
  <c r="W39" i="8"/>
  <c r="W18" i="10" s="1"/>
  <c r="AN40" i="8"/>
  <c r="AN19" i="10" s="1"/>
  <c r="K32" i="9"/>
  <c r="R32" i="9"/>
  <c r="AG44" i="8"/>
  <c r="AG23" i="10" s="1"/>
  <c r="W47" i="8"/>
  <c r="W26" i="10" s="1"/>
  <c r="AR32" i="9"/>
  <c r="AR34" i="9" s="1"/>
  <c r="AR30" i="9"/>
  <c r="K30" i="9"/>
  <c r="AR48" i="8"/>
  <c r="AR27" i="10" s="1"/>
  <c r="AN32" i="9"/>
  <c r="AN34" i="9" s="1"/>
  <c r="AN30" i="9"/>
  <c r="AM43" i="8"/>
  <c r="AM22" i="10" s="1"/>
  <c r="W43" i="8"/>
  <c r="W22" i="10" s="1"/>
  <c r="V34" i="9"/>
  <c r="AR44" i="8"/>
  <c r="AR23" i="10" s="1"/>
  <c r="AJ32" i="9"/>
  <c r="AJ34" i="9" s="1"/>
  <c r="AJ30" i="9"/>
  <c r="P47" i="8"/>
  <c r="P26" i="10" s="1"/>
  <c r="I47" i="8"/>
  <c r="I48" i="8" s="1"/>
  <c r="AG32" i="9"/>
  <c r="AG34" i="9" s="1"/>
  <c r="AG30" i="9"/>
  <c r="V30" i="9"/>
  <c r="AR40" i="8"/>
  <c r="AR19" i="10" s="1"/>
  <c r="AO32" i="9"/>
  <c r="AO34" i="9" s="1"/>
  <c r="AO30" i="9"/>
  <c r="AE40" i="8"/>
  <c r="AE19" i="10" s="1"/>
  <c r="T32" i="9"/>
  <c r="AA32" i="9"/>
  <c r="P29" i="9"/>
  <c r="P33" i="9" s="1"/>
  <c r="P34" i="9" s="1"/>
  <c r="T44" i="8"/>
  <c r="T23" i="10" s="1"/>
  <c r="L32" i="9"/>
  <c r="L30" i="9"/>
  <c r="M29" i="9"/>
  <c r="M33" i="9" s="1"/>
  <c r="M34" i="9" s="1"/>
  <c r="E32" i="9"/>
  <c r="E30" i="9"/>
  <c r="AM32" i="9"/>
  <c r="AM34" i="9" s="1"/>
  <c r="AM30" i="9"/>
  <c r="H32" i="9"/>
  <c r="H30" i="9"/>
  <c r="F32" i="9"/>
  <c r="F50" i="10" s="1"/>
  <c r="F30" i="9"/>
  <c r="F45" i="10"/>
  <c r="AK32" i="9"/>
  <c r="AK34" i="9" s="1"/>
  <c r="AK30" i="9"/>
  <c r="AQ32" i="9"/>
  <c r="AQ34" i="9" s="1"/>
  <c r="AQ30" i="9"/>
  <c r="Q32" i="9"/>
  <c r="AH32" i="9"/>
  <c r="AH34" i="9" s="1"/>
  <c r="AH30" i="9"/>
  <c r="O32" i="9"/>
  <c r="O30" i="9"/>
  <c r="AC32" i="9"/>
  <c r="AC34" i="9" s="1"/>
  <c r="AO48" i="8"/>
  <c r="AO27" i="10" s="1"/>
  <c r="W40" i="8"/>
  <c r="W19" i="10" s="1"/>
  <c r="AH44" i="8"/>
  <c r="AH23" i="10" s="1"/>
  <c r="AK43" i="8"/>
  <c r="AK22" i="10" s="1"/>
  <c r="S39" i="8"/>
  <c r="AE43" i="8"/>
  <c r="AE22" i="10" s="1"/>
  <c r="Z43" i="8"/>
  <c r="Z22" i="10" s="1"/>
  <c r="P39" i="8"/>
  <c r="P18" i="10" s="1"/>
  <c r="I43" i="8"/>
  <c r="AL47" i="8"/>
  <c r="AL26" i="10" s="1"/>
  <c r="AC43" i="8"/>
  <c r="AC22" i="10" s="1"/>
  <c r="K43" i="8"/>
  <c r="K22" i="10" s="1"/>
  <c r="O39" i="8"/>
  <c r="O18" i="10" s="1"/>
  <c r="AN47" i="8"/>
  <c r="AN26" i="10" s="1"/>
  <c r="AN43" i="8"/>
  <c r="AN22" i="10" s="1"/>
  <c r="AL43" i="8"/>
  <c r="AL22" i="10" s="1"/>
  <c r="N43" i="8"/>
  <c r="N22" i="10" s="1"/>
  <c r="AK39" i="8"/>
  <c r="AK18" i="10" s="1"/>
  <c r="L43" i="8"/>
  <c r="L22" i="10" s="1"/>
  <c r="AI48" i="8"/>
  <c r="AI27" i="10" s="1"/>
  <c r="AH47" i="8"/>
  <c r="AH26" i="10" s="1"/>
  <c r="AQ39" i="8"/>
  <c r="AQ18" i="10" s="1"/>
  <c r="Y43" i="8"/>
  <c r="Y22" i="10" s="1"/>
  <c r="V40" i="8"/>
  <c r="V19" i="10" s="1"/>
  <c r="Z39" i="8"/>
  <c r="L39" i="8"/>
  <c r="AI40" i="8"/>
  <c r="Y48" i="8"/>
  <c r="Y27" i="10" s="1"/>
  <c r="AH43" i="8"/>
  <c r="AH22" i="10" s="1"/>
  <c r="AO44" i="8"/>
  <c r="AO23" i="10" s="1"/>
  <c r="AE44" i="8"/>
  <c r="AE23" i="10" s="1"/>
  <c r="T47" i="8"/>
  <c r="T26" i="10" s="1"/>
  <c r="V48" i="8"/>
  <c r="V27" i="10" s="1"/>
  <c r="AI39" i="8"/>
  <c r="AI18" i="10" s="1"/>
  <c r="AK40" i="8"/>
  <c r="AK19" i="10" s="1"/>
  <c r="F47" i="8"/>
  <c r="AK48" i="8"/>
  <c r="AM40" i="8"/>
  <c r="AM19" i="10" s="1"/>
  <c r="AQ47" i="8"/>
  <c r="AQ26" i="10" s="1"/>
  <c r="AM48" i="8"/>
  <c r="AM27" i="10" s="1"/>
  <c r="P43" i="8"/>
  <c r="P22" i="10" s="1"/>
  <c r="J39" i="8"/>
  <c r="J18" i="10" s="1"/>
  <c r="AQ40" i="8"/>
  <c r="R47" i="8"/>
  <c r="R26" i="10" s="1"/>
  <c r="J43" i="8"/>
  <c r="Y44" i="8"/>
  <c r="AQ48" i="8"/>
  <c r="AQ27" i="10" s="1"/>
  <c r="H43" i="8"/>
  <c r="R43" i="8"/>
  <c r="R22" i="10" s="1"/>
  <c r="J47" i="8"/>
  <c r="AQ44" i="8"/>
  <c r="AQ23" i="10" s="1"/>
  <c r="U44" i="8"/>
  <c r="U23" i="10" s="1"/>
  <c r="AL44" i="8"/>
  <c r="H47" i="8"/>
  <c r="K39" i="8"/>
  <c r="AE48" i="8"/>
  <c r="AE27" i="10" s="1"/>
  <c r="R39" i="8"/>
  <c r="R18" i="10" s="1"/>
  <c r="Q47" i="8"/>
  <c r="Q48" i="8" s="1"/>
  <c r="Q27" i="10" s="1"/>
  <c r="H39" i="8"/>
  <c r="H18" i="10" s="1"/>
  <c r="O43" i="8"/>
  <c r="O44" i="8" s="1"/>
  <c r="O23" i="10" s="1"/>
  <c r="AB44" i="8"/>
  <c r="AB23" i="10" s="1"/>
  <c r="Z44" i="8"/>
  <c r="X44" i="8"/>
  <c r="AC48" i="8"/>
  <c r="AC27" i="10" s="1"/>
  <c r="Q39" i="8"/>
  <c r="Q18" i="10" s="1"/>
  <c r="Z47" i="8"/>
  <c r="S43" i="8"/>
  <c r="S44" i="8" s="1"/>
  <c r="S23" i="10" s="1"/>
  <c r="AC44" i="8"/>
  <c r="AC23" i="10" s="1"/>
  <c r="AP47" i="8"/>
  <c r="AP26" i="10" s="1"/>
  <c r="Q43" i="8"/>
  <c r="Q44" i="8" s="1"/>
  <c r="Q23" i="10" s="1"/>
  <c r="AO47" i="8"/>
  <c r="AB47" i="8"/>
  <c r="S47" i="8"/>
  <c r="S48" i="8" s="1"/>
  <c r="S27" i="10" s="1"/>
  <c r="AP40" i="8"/>
  <c r="AP19" i="10" s="1"/>
  <c r="T39" i="8"/>
  <c r="AP43" i="8"/>
  <c r="AO43" i="8"/>
  <c r="AB43" i="8"/>
  <c r="AB22" i="10" s="1"/>
  <c r="AE39" i="8"/>
  <c r="AI43" i="8"/>
  <c r="U47" i="8"/>
  <c r="AF39" i="8"/>
  <c r="AP48" i="8"/>
  <c r="AP27" i="10" s="1"/>
  <c r="N39" i="8"/>
  <c r="N18" i="10" s="1"/>
  <c r="M39" i="8"/>
  <c r="AP39" i="8"/>
  <c r="AP18" i="10" s="1"/>
  <c r="AO39" i="8"/>
  <c r="W48" i="8"/>
  <c r="AE47" i="8"/>
  <c r="AE26" i="10" s="1"/>
  <c r="U43" i="8"/>
  <c r="U22" i="10" s="1"/>
  <c r="AF43" i="8"/>
  <c r="T48" i="8"/>
  <c r="M47" i="8"/>
  <c r="AJ39" i="8"/>
  <c r="U39" i="8"/>
  <c r="U18" i="10" s="1"/>
  <c r="AH40" i="8"/>
  <c r="AF47" i="8"/>
  <c r="N47" i="8"/>
  <c r="N48" i="8" s="1"/>
  <c r="N27" i="10" s="1"/>
  <c r="Y47" i="8"/>
  <c r="T40" i="8"/>
  <c r="T19" i="10" s="1"/>
  <c r="M43" i="8"/>
  <c r="V43" i="8"/>
  <c r="F39" i="8"/>
  <c r="AJ43" i="8"/>
  <c r="AB39" i="8"/>
  <c r="L47" i="8"/>
  <c r="AH48" i="8"/>
  <c r="AK44" i="8"/>
  <c r="AK23" i="10" s="1"/>
  <c r="AQ43" i="8"/>
  <c r="AQ22" i="10" s="1"/>
  <c r="Y39" i="8"/>
  <c r="V47" i="8"/>
  <c r="F43" i="8"/>
  <c r="F22" i="10" s="1"/>
  <c r="AJ47" i="8"/>
  <c r="AL46" i="10"/>
  <c r="AH46" i="10"/>
  <c r="AO45" i="10"/>
  <c r="AL45" i="10"/>
  <c r="AQ45" i="10"/>
  <c r="AK46" i="10"/>
  <c r="AO46" i="10"/>
  <c r="AN45" i="10"/>
  <c r="AI45" i="10"/>
  <c r="AM46" i="10"/>
  <c r="AM45" i="10"/>
  <c r="AR45" i="10"/>
  <c r="AP46" i="10"/>
  <c r="AP45" i="10"/>
  <c r="AR46" i="10"/>
  <c r="AJ45" i="10"/>
  <c r="AJ47" i="10" s="1"/>
  <c r="AG43" i="21" s="1"/>
  <c r="AN46" i="10"/>
  <c r="AK45" i="10"/>
  <c r="AL51" i="10"/>
  <c r="AH51" i="10"/>
  <c r="AI46" i="10"/>
  <c r="AQ46" i="10"/>
  <c r="AH45" i="10"/>
  <c r="AG45" i="10"/>
  <c r="AG47" i="10" s="1"/>
  <c r="AD43" i="21" s="1"/>
  <c r="AD50" i="10"/>
  <c r="G45" i="10"/>
  <c r="G46" i="10"/>
  <c r="AE33" i="9" l="1"/>
  <c r="AE34" i="9" s="1"/>
  <c r="AE30" i="9"/>
  <c r="AB30" i="9"/>
  <c r="Y30" i="9"/>
  <c r="S18" i="10"/>
  <c r="S40" i="8"/>
  <c r="Y34" i="9"/>
  <c r="K34" i="9"/>
  <c r="AM24" i="10"/>
  <c r="AJ33" i="21" s="1"/>
  <c r="AJ35" i="21" s="1"/>
  <c r="AA49" i="8"/>
  <c r="S30" i="9"/>
  <c r="N34" i="9"/>
  <c r="P44" i="8"/>
  <c r="R48" i="8"/>
  <c r="R27" i="10" s="1"/>
  <c r="R28" i="10" s="1"/>
  <c r="Q40" i="8"/>
  <c r="AC41" i="8"/>
  <c r="P48" i="8"/>
  <c r="P27" i="10" s="1"/>
  <c r="P28" i="10" s="1"/>
  <c r="R44" i="8"/>
  <c r="R23" i="10" s="1"/>
  <c r="R24" i="10" s="1"/>
  <c r="R40" i="8"/>
  <c r="R19" i="10" s="1"/>
  <c r="R20" i="10" s="1"/>
  <c r="P40" i="8"/>
  <c r="P19" i="10" s="1"/>
  <c r="P20" i="10" s="1"/>
  <c r="O34" i="9"/>
  <c r="AA20" i="10"/>
  <c r="AA24" i="10"/>
  <c r="J34" i="9"/>
  <c r="H34" i="9"/>
  <c r="G34" i="9"/>
  <c r="AG50" i="10"/>
  <c r="AG52" i="10" s="1"/>
  <c r="AD41" i="21" s="1"/>
  <c r="AD42" i="21" s="1"/>
  <c r="AS41" i="8"/>
  <c r="AP42" i="21"/>
  <c r="U20" i="10"/>
  <c r="AS18" i="10"/>
  <c r="AS20" i="10" s="1"/>
  <c r="AP30" i="21" s="1"/>
  <c r="AP32" i="21" s="1"/>
  <c r="T30" i="9"/>
  <c r="AS47" i="10"/>
  <c r="AS54" i="10" s="1"/>
  <c r="AS49" i="8"/>
  <c r="AS26" i="10"/>
  <c r="AS28" i="10" s="1"/>
  <c r="AP36" i="21" s="1"/>
  <c r="AP38" i="21" s="1"/>
  <c r="AS24" i="10"/>
  <c r="AP33" i="21" s="1"/>
  <c r="AP35" i="21" s="1"/>
  <c r="AA41" i="8"/>
  <c r="AS45" i="8"/>
  <c r="T34" i="9"/>
  <c r="O48" i="8"/>
  <c r="O27" i="10" s="1"/>
  <c r="O28" i="10" s="1"/>
  <c r="AA45" i="8"/>
  <c r="W24" i="10"/>
  <c r="X20" i="10"/>
  <c r="X41" i="8"/>
  <c r="N44" i="8"/>
  <c r="N23" i="10" s="1"/>
  <c r="N24" i="10" s="1"/>
  <c r="W20" i="10"/>
  <c r="O40" i="8"/>
  <c r="O19" i="10" s="1"/>
  <c r="O20" i="10" s="1"/>
  <c r="N40" i="8"/>
  <c r="N19" i="10" s="1"/>
  <c r="N20" i="10" s="1"/>
  <c r="AN50" i="10"/>
  <c r="AN52" i="10" s="1"/>
  <c r="AK41" i="21" s="1"/>
  <c r="AL41" i="8"/>
  <c r="K48" i="8"/>
  <c r="K27" i="10" s="1"/>
  <c r="K28" i="10" s="1"/>
  <c r="AD30" i="9"/>
  <c r="AD33" i="9"/>
  <c r="AD34" i="9" s="1"/>
  <c r="E34" i="9"/>
  <c r="AK50" i="10"/>
  <c r="AK52" i="10" s="1"/>
  <c r="AH41" i="21" s="1"/>
  <c r="AH42" i="21" s="1"/>
  <c r="AC18" i="10"/>
  <c r="AC20" i="10" s="1"/>
  <c r="I40" i="8"/>
  <c r="I41" i="8" s="1"/>
  <c r="Q30" i="9"/>
  <c r="AN20" i="10"/>
  <c r="AK30" i="21" s="1"/>
  <c r="AK32" i="21" s="1"/>
  <c r="Q34" i="9"/>
  <c r="AK24" i="10"/>
  <c r="AH33" i="21" s="1"/>
  <c r="AH35" i="21" s="1"/>
  <c r="AN41" i="8"/>
  <c r="X49" i="8"/>
  <c r="AM50" i="10"/>
  <c r="AM52" i="10" s="1"/>
  <c r="AJ41" i="21" s="1"/>
  <c r="AJ42" i="21" s="1"/>
  <c r="AI50" i="10"/>
  <c r="AI52" i="10" s="1"/>
  <c r="AF41" i="21" s="1"/>
  <c r="AM49" i="8"/>
  <c r="AB24" i="10"/>
  <c r="AH24" i="10"/>
  <c r="AE33" i="21" s="1"/>
  <c r="AE35" i="21" s="1"/>
  <c r="AG45" i="8"/>
  <c r="W45" i="8"/>
  <c r="AG20" i="10"/>
  <c r="AD30" i="21" s="1"/>
  <c r="AD32" i="21" s="1"/>
  <c r="AG41" i="8"/>
  <c r="I26" i="10"/>
  <c r="AG49" i="8"/>
  <c r="AG22" i="10"/>
  <c r="AG24" i="10" s="1"/>
  <c r="AD33" i="21" s="1"/>
  <c r="AD35" i="21" s="1"/>
  <c r="T45" i="8"/>
  <c r="W41" i="8"/>
  <c r="F47" i="10"/>
  <c r="AP50" i="10"/>
  <c r="AP52" i="10" s="1"/>
  <c r="AM41" i="21" s="1"/>
  <c r="AM42" i="21" s="1"/>
  <c r="G50" i="10"/>
  <c r="AR50" i="10"/>
  <c r="AR52" i="10" s="1"/>
  <c r="AO41" i="21" s="1"/>
  <c r="AO42" i="21" s="1"/>
  <c r="AJ50" i="10"/>
  <c r="AJ52" i="10" s="1"/>
  <c r="AG41" i="21" s="1"/>
  <c r="AG42" i="21" s="1"/>
  <c r="AF30" i="9"/>
  <c r="T22" i="10"/>
  <c r="T24" i="10" s="1"/>
  <c r="F34" i="9"/>
  <c r="F51" i="10"/>
  <c r="F52" i="10" s="1"/>
  <c r="AR26" i="10"/>
  <c r="AR28" i="10" s="1"/>
  <c r="AO36" i="21" s="1"/>
  <c r="AO38" i="21" s="1"/>
  <c r="AR49" i="8"/>
  <c r="AM45" i="8"/>
  <c r="AR41" i="8"/>
  <c r="AR18" i="10"/>
  <c r="AR20" i="10" s="1"/>
  <c r="AO30" i="21" s="1"/>
  <c r="AO32" i="21" s="1"/>
  <c r="AM20" i="10"/>
  <c r="AJ30" i="21" s="1"/>
  <c r="AJ32" i="21" s="1"/>
  <c r="AA30" i="9"/>
  <c r="AA34" i="9"/>
  <c r="M30" i="9"/>
  <c r="R30" i="9"/>
  <c r="R34" i="9"/>
  <c r="P30" i="9"/>
  <c r="AH50" i="10"/>
  <c r="AH52" i="10" s="1"/>
  <c r="AE41" i="21" s="1"/>
  <c r="AE42" i="21" s="1"/>
  <c r="L34" i="9"/>
  <c r="AE24" i="10"/>
  <c r="AR22" i="10"/>
  <c r="AR24" i="10" s="1"/>
  <c r="AO33" i="21" s="1"/>
  <c r="AO35" i="21" s="1"/>
  <c r="AR45" i="8"/>
  <c r="AL49" i="8"/>
  <c r="AC49" i="8"/>
  <c r="AM41" i="8"/>
  <c r="AN24" i="10"/>
  <c r="AK33" i="21" s="1"/>
  <c r="AK35" i="21" s="1"/>
  <c r="AK20" i="10"/>
  <c r="AH30" i="21" s="1"/>
  <c r="AH32" i="21" s="1"/>
  <c r="AP20" i="10"/>
  <c r="AM30" i="21" s="1"/>
  <c r="AM32" i="21" s="1"/>
  <c r="AI49" i="8"/>
  <c r="AH41" i="8"/>
  <c r="AH19" i="10"/>
  <c r="AH20" i="10" s="1"/>
  <c r="AE30" i="21" s="1"/>
  <c r="AE32" i="21" s="1"/>
  <c r="Q45" i="8"/>
  <c r="Q22" i="10"/>
  <c r="Q24" i="10" s="1"/>
  <c r="AN45" i="8"/>
  <c r="AH49" i="8"/>
  <c r="AH27" i="10"/>
  <c r="AH28" i="10" s="1"/>
  <c r="AE36" i="21" s="1"/>
  <c r="AE38" i="21" s="1"/>
  <c r="AI41" i="8"/>
  <c r="AI19" i="10"/>
  <c r="AI20" i="10" s="1"/>
  <c r="AF30" i="21" s="1"/>
  <c r="AF32" i="21" s="1"/>
  <c r="L40" i="8"/>
  <c r="L18" i="10"/>
  <c r="AE45" i="8"/>
  <c r="S49" i="8"/>
  <c r="S26" i="10"/>
  <c r="S28" i="10" s="1"/>
  <c r="M48" i="8"/>
  <c r="M26" i="10"/>
  <c r="AF41" i="8"/>
  <c r="AF18" i="10"/>
  <c r="AF20" i="10" s="1"/>
  <c r="F40" i="8"/>
  <c r="F18" i="10"/>
  <c r="AK49" i="8"/>
  <c r="AK27" i="10"/>
  <c r="AK28" i="10" s="1"/>
  <c r="AH36" i="21" s="1"/>
  <c r="AH38" i="21" s="1"/>
  <c r="Z41" i="8"/>
  <c r="Z18" i="10"/>
  <c r="Z20" i="10" s="1"/>
  <c r="AO49" i="8"/>
  <c r="AO26" i="10"/>
  <c r="AO28" i="10" s="1"/>
  <c r="AL36" i="21" s="1"/>
  <c r="AL38" i="21" s="1"/>
  <c r="H48" i="8"/>
  <c r="H26" i="10"/>
  <c r="M44" i="8"/>
  <c r="M22" i="10"/>
  <c r="AH45" i="8"/>
  <c r="I49" i="8"/>
  <c r="I27" i="10"/>
  <c r="S45" i="8"/>
  <c r="S22" i="10"/>
  <c r="S24" i="10" s="1"/>
  <c r="U49" i="8"/>
  <c r="U26" i="10"/>
  <c r="U28" i="10" s="1"/>
  <c r="AI45" i="8"/>
  <c r="AI22" i="10"/>
  <c r="AI24" i="10" s="1"/>
  <c r="AF33" i="21" s="1"/>
  <c r="AF35" i="21" s="1"/>
  <c r="X45" i="8"/>
  <c r="X23" i="10"/>
  <c r="X24" i="10" s="1"/>
  <c r="AK45" i="8"/>
  <c r="F48" i="8"/>
  <c r="F26" i="10"/>
  <c r="V20" i="10"/>
  <c r="AB41" i="8"/>
  <c r="AB18" i="10"/>
  <c r="AB20" i="10" s="1"/>
  <c r="AL45" i="8"/>
  <c r="AL23" i="10"/>
  <c r="AL24" i="10" s="1"/>
  <c r="AI33" i="21" s="1"/>
  <c r="AI35" i="21" s="1"/>
  <c r="AJ49" i="8"/>
  <c r="AJ26" i="10"/>
  <c r="AJ28" i="10" s="1"/>
  <c r="AG36" i="21" s="1"/>
  <c r="AG38" i="21" s="1"/>
  <c r="AE41" i="8"/>
  <c r="AE18" i="10"/>
  <c r="AE20" i="10" s="1"/>
  <c r="AO45" i="8"/>
  <c r="AO22" i="10"/>
  <c r="AO24" i="10" s="1"/>
  <c r="AL33" i="21" s="1"/>
  <c r="AL35" i="21" s="1"/>
  <c r="Z45" i="8"/>
  <c r="Z23" i="10"/>
  <c r="Z24" i="10" s="1"/>
  <c r="J48" i="8"/>
  <c r="J26" i="10"/>
  <c r="AQ41" i="8"/>
  <c r="AQ19" i="10"/>
  <c r="AQ20" i="10" s="1"/>
  <c r="AN30" i="21" s="1"/>
  <c r="AN32" i="21" s="1"/>
  <c r="V41" i="8"/>
  <c r="AP45" i="8"/>
  <c r="AP22" i="10"/>
  <c r="AP24" i="10" s="1"/>
  <c r="AM33" i="21" s="1"/>
  <c r="AM35" i="21" s="1"/>
  <c r="AN49" i="8"/>
  <c r="L44" i="8"/>
  <c r="AC24" i="10"/>
  <c r="H44" i="8"/>
  <c r="H22" i="10"/>
  <c r="AB49" i="8"/>
  <c r="AB26" i="10"/>
  <c r="AB28" i="10" s="1"/>
  <c r="L48" i="8"/>
  <c r="L26" i="10"/>
  <c r="Y45" i="8"/>
  <c r="Y23" i="10"/>
  <c r="Y24" i="10" s="1"/>
  <c r="M40" i="8"/>
  <c r="M18" i="10"/>
  <c r="AJ45" i="8"/>
  <c r="AJ22" i="10"/>
  <c r="AJ24" i="10" s="1"/>
  <c r="AG33" i="21" s="1"/>
  <c r="AG35" i="21" s="1"/>
  <c r="AF45" i="8"/>
  <c r="AF22" i="10"/>
  <c r="AF24" i="10" s="1"/>
  <c r="V49" i="8"/>
  <c r="V26" i="10"/>
  <c r="V28" i="10" s="1"/>
  <c r="N49" i="8"/>
  <c r="N26" i="10"/>
  <c r="N28" i="10" s="1"/>
  <c r="W49" i="8"/>
  <c r="W27" i="10"/>
  <c r="W28" i="10" s="1"/>
  <c r="T41" i="8"/>
  <c r="T18" i="10"/>
  <c r="T20" i="10" s="1"/>
  <c r="AO41" i="8"/>
  <c r="AO18" i="10"/>
  <c r="AO20" i="10" s="1"/>
  <c r="AL30" i="21" s="1"/>
  <c r="AL32" i="21" s="1"/>
  <c r="Q49" i="8"/>
  <c r="Q26" i="10"/>
  <c r="Q28" i="10" s="1"/>
  <c r="J44" i="8"/>
  <c r="J22" i="10"/>
  <c r="AJ41" i="8"/>
  <c r="AJ18" i="10"/>
  <c r="AJ20" i="10" s="1"/>
  <c r="AG30" i="21" s="1"/>
  <c r="AG32" i="21" s="1"/>
  <c r="K40" i="8"/>
  <c r="K18" i="10"/>
  <c r="Y49" i="8"/>
  <c r="Y26" i="10"/>
  <c r="Y28" i="10" s="1"/>
  <c r="AF49" i="8"/>
  <c r="AF26" i="10"/>
  <c r="AF28" i="10" s="1"/>
  <c r="O45" i="8"/>
  <c r="O22" i="10"/>
  <c r="O24" i="10" s="1"/>
  <c r="K44" i="8"/>
  <c r="K23" i="10" s="1"/>
  <c r="K24" i="10" s="1"/>
  <c r="AC45" i="8"/>
  <c r="I44" i="8"/>
  <c r="I22" i="10"/>
  <c r="T49" i="8"/>
  <c r="T27" i="10"/>
  <c r="T28" i="10" s="1"/>
  <c r="Z49" i="8"/>
  <c r="Z26" i="10"/>
  <c r="Z28" i="10" s="1"/>
  <c r="V45" i="8"/>
  <c r="V22" i="10"/>
  <c r="V24" i="10" s="1"/>
  <c r="U24" i="10"/>
  <c r="Y41" i="8"/>
  <c r="Y18" i="10"/>
  <c r="Y20" i="10" s="1"/>
  <c r="AQ24" i="10"/>
  <c r="AN33" i="21" s="1"/>
  <c r="AN35" i="21" s="1"/>
  <c r="AK41" i="8"/>
  <c r="U41" i="8"/>
  <c r="AG44" i="21"/>
  <c r="AD44" i="21"/>
  <c r="AE49" i="8"/>
  <c r="AQ45" i="8"/>
  <c r="H40" i="8"/>
  <c r="J40" i="8"/>
  <c r="J19" i="10" s="1"/>
  <c r="J20" i="10" s="1"/>
  <c r="AP41" i="8"/>
  <c r="AP49" i="8"/>
  <c r="AQ49" i="8"/>
  <c r="F44" i="8"/>
  <c r="F23" i="10" s="1"/>
  <c r="U45" i="8"/>
  <c r="AB45" i="8"/>
  <c r="AL28" i="10"/>
  <c r="AI36" i="21" s="1"/>
  <c r="AI38" i="21" s="1"/>
  <c r="AP47" i="10"/>
  <c r="AM43" i="21" s="1"/>
  <c r="AM28" i="10"/>
  <c r="AJ36" i="21" s="1"/>
  <c r="AJ38" i="21" s="1"/>
  <c r="AI47" i="10"/>
  <c r="AO47" i="10"/>
  <c r="AL43" i="21" s="1"/>
  <c r="AR47" i="10"/>
  <c r="AO43" i="21" s="1"/>
  <c r="AL47" i="10"/>
  <c r="AI43" i="21" s="1"/>
  <c r="AL50" i="10"/>
  <c r="AL52" i="10" s="1"/>
  <c r="AI41" i="21" s="1"/>
  <c r="AI42" i="21" s="1"/>
  <c r="AQ47" i="10"/>
  <c r="AN43" i="21" s="1"/>
  <c r="AO50" i="10"/>
  <c r="AO52" i="10" s="1"/>
  <c r="AL41" i="21" s="1"/>
  <c r="AL42" i="21" s="1"/>
  <c r="AM47" i="10"/>
  <c r="AJ43" i="21" s="1"/>
  <c r="AN47" i="10"/>
  <c r="AH47" i="10"/>
  <c r="AE43" i="21" s="1"/>
  <c r="AQ50" i="10"/>
  <c r="AQ52" i="10" s="1"/>
  <c r="AN41" i="21" s="1"/>
  <c r="AN42" i="21" s="1"/>
  <c r="AK47" i="10"/>
  <c r="AH43" i="21" s="1"/>
  <c r="AI30" i="21"/>
  <c r="AI32" i="21" s="1"/>
  <c r="AP28" i="10"/>
  <c r="AM36" i="21" s="1"/>
  <c r="AM38" i="21" s="1"/>
  <c r="AI28" i="10"/>
  <c r="AF36" i="21" s="1"/>
  <c r="AF38" i="21" s="1"/>
  <c r="AN28" i="10"/>
  <c r="AK36" i="21" s="1"/>
  <c r="AK38" i="21" s="1"/>
  <c r="AQ28" i="10"/>
  <c r="AN36" i="21" s="1"/>
  <c r="AN38" i="21" s="1"/>
  <c r="AD18" i="19"/>
  <c r="AD59" i="10" s="1"/>
  <c r="AG28" i="10"/>
  <c r="AD36" i="21" s="1"/>
  <c r="AD38" i="21" s="1"/>
  <c r="AC28" i="10"/>
  <c r="G47" i="10"/>
  <c r="AE28" i="10"/>
  <c r="X28" i="10"/>
  <c r="AA28" i="10"/>
  <c r="AD17" i="19"/>
  <c r="AD58" i="10" s="1"/>
  <c r="AD22" i="19"/>
  <c r="AD63" i="10" s="1"/>
  <c r="AD27" i="19"/>
  <c r="AD68" i="10" s="1"/>
  <c r="G51" i="10"/>
  <c r="G28" i="10"/>
  <c r="E16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S16" i="5"/>
  <c r="T16" i="5"/>
  <c r="U16" i="5"/>
  <c r="V16" i="5"/>
  <c r="W16" i="5"/>
  <c r="X16" i="5"/>
  <c r="Y16" i="5"/>
  <c r="Z16" i="5"/>
  <c r="AA16" i="5"/>
  <c r="AB16" i="5"/>
  <c r="AC16" i="5"/>
  <c r="AD16" i="5"/>
  <c r="AE16" i="5"/>
  <c r="D16" i="5"/>
  <c r="E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U15" i="5"/>
  <c r="V15" i="5"/>
  <c r="W15" i="5"/>
  <c r="X15" i="5"/>
  <c r="Y15" i="5"/>
  <c r="Z15" i="5"/>
  <c r="AA15" i="5"/>
  <c r="AB15" i="5"/>
  <c r="AC15" i="5"/>
  <c r="AD15" i="5"/>
  <c r="AE15" i="5"/>
  <c r="D15" i="5"/>
  <c r="A2" i="5"/>
  <c r="S19" i="10" l="1"/>
  <c r="S20" i="10" s="1"/>
  <c r="P30" i="21" s="1"/>
  <c r="P32" i="21" s="1"/>
  <c r="S41" i="8"/>
  <c r="Q19" i="10"/>
  <c r="Q20" i="10" s="1"/>
  <c r="N30" i="21" s="1"/>
  <c r="N32" i="21" s="1"/>
  <c r="Q41" i="8"/>
  <c r="P23" i="10"/>
  <c r="P24" i="10" s="1"/>
  <c r="M33" i="21" s="1"/>
  <c r="M35" i="21" s="1"/>
  <c r="P45" i="8"/>
  <c r="R49" i="8"/>
  <c r="O41" i="8"/>
  <c r="R41" i="8"/>
  <c r="R45" i="8"/>
  <c r="AI54" i="10"/>
  <c r="P41" i="8"/>
  <c r="P49" i="8"/>
  <c r="AN54" i="10"/>
  <c r="AP39" i="21"/>
  <c r="AK39" i="21"/>
  <c r="AF39" i="21"/>
  <c r="D22" i="10"/>
  <c r="D26" i="10"/>
  <c r="F24" i="10"/>
  <c r="D18" i="10"/>
  <c r="AD51" i="10"/>
  <c r="AD52" i="10" s="1"/>
  <c r="AD54" i="10" s="1"/>
  <c r="AF42" i="21"/>
  <c r="AK42" i="21"/>
  <c r="AP43" i="21"/>
  <c r="O49" i="8"/>
  <c r="N41" i="8"/>
  <c r="I19" i="10"/>
  <c r="I20" i="10" s="1"/>
  <c r="F30" i="21" s="1"/>
  <c r="F32" i="21" s="1"/>
  <c r="N45" i="8"/>
  <c r="G52" i="10"/>
  <c r="K49" i="8"/>
  <c r="I28" i="10"/>
  <c r="F36" i="21" s="1"/>
  <c r="F38" i="21" s="1"/>
  <c r="F33" i="5"/>
  <c r="F29" i="5"/>
  <c r="R33" i="5"/>
  <c r="R29" i="5"/>
  <c r="W33" i="5"/>
  <c r="W29" i="5"/>
  <c r="T29" i="5"/>
  <c r="T33" i="5"/>
  <c r="P33" i="5"/>
  <c r="P29" i="5"/>
  <c r="O33" i="5"/>
  <c r="O29" i="5"/>
  <c r="E29" i="5"/>
  <c r="E33" i="5"/>
  <c r="AE33" i="5"/>
  <c r="AE29" i="5"/>
  <c r="AD33" i="5"/>
  <c r="AD29" i="5"/>
  <c r="N33" i="5"/>
  <c r="N29" i="5"/>
  <c r="S33" i="5"/>
  <c r="S29" i="5"/>
  <c r="AB33" i="5"/>
  <c r="AB29" i="5"/>
  <c r="L29" i="5"/>
  <c r="J5" i="23" s="1"/>
  <c r="L33" i="5"/>
  <c r="AA33" i="5"/>
  <c r="AA29" i="5"/>
  <c r="K33" i="5"/>
  <c r="K29" i="5"/>
  <c r="U33" i="5"/>
  <c r="U29" i="5"/>
  <c r="M33" i="5"/>
  <c r="M29" i="5"/>
  <c r="G29" i="5"/>
  <c r="G33" i="5"/>
  <c r="V29" i="5"/>
  <c r="V33" i="5"/>
  <c r="Q33" i="5"/>
  <c r="Q29" i="5"/>
  <c r="D33" i="5"/>
  <c r="D29" i="5"/>
  <c r="AC29" i="5"/>
  <c r="AC33" i="5"/>
  <c r="Z33" i="5"/>
  <c r="Z29" i="5"/>
  <c r="Y33" i="5"/>
  <c r="Y29" i="5"/>
  <c r="I29" i="5"/>
  <c r="I33" i="5"/>
  <c r="J29" i="5"/>
  <c r="J33" i="5"/>
  <c r="X33" i="5"/>
  <c r="X29" i="5"/>
  <c r="H29" i="5"/>
  <c r="H33" i="5"/>
  <c r="K45" i="8"/>
  <c r="H49" i="8"/>
  <c r="H27" i="10"/>
  <c r="H28" i="10" s="1"/>
  <c r="E36" i="21" s="1"/>
  <c r="E38" i="21" s="1"/>
  <c r="F45" i="8"/>
  <c r="L41" i="8"/>
  <c r="L19" i="10"/>
  <c r="L20" i="10" s="1"/>
  <c r="I30" i="21" s="1"/>
  <c r="I32" i="21" s="1"/>
  <c r="J45" i="8"/>
  <c r="J23" i="10"/>
  <c r="J24" i="10" s="1"/>
  <c r="G33" i="21" s="1"/>
  <c r="G35" i="21" s="1"/>
  <c r="L45" i="8"/>
  <c r="L23" i="10"/>
  <c r="L24" i="10" s="1"/>
  <c r="I33" i="21" s="1"/>
  <c r="I35" i="21" s="1"/>
  <c r="H45" i="8"/>
  <c r="H23" i="10"/>
  <c r="H24" i="10" s="1"/>
  <c r="E33" i="21" s="1"/>
  <c r="E35" i="21" s="1"/>
  <c r="F41" i="8"/>
  <c r="F19" i="10"/>
  <c r="M41" i="8"/>
  <c r="M19" i="10"/>
  <c r="M20" i="10" s="1"/>
  <c r="J30" i="21" s="1"/>
  <c r="J32" i="21" s="1"/>
  <c r="J41" i="8"/>
  <c r="I45" i="8"/>
  <c r="I23" i="10"/>
  <c r="I24" i="10" s="1"/>
  <c r="F33" i="21" s="1"/>
  <c r="F35" i="21" s="1"/>
  <c r="H41" i="8"/>
  <c r="H19" i="10"/>
  <c r="H20" i="10" s="1"/>
  <c r="E30" i="21" s="1"/>
  <c r="E32" i="21" s="1"/>
  <c r="M49" i="8"/>
  <c r="M27" i="10"/>
  <c r="M28" i="10" s="1"/>
  <c r="J36" i="21" s="1"/>
  <c r="J38" i="21" s="1"/>
  <c r="L49" i="8"/>
  <c r="L27" i="10"/>
  <c r="L28" i="10" s="1"/>
  <c r="I36" i="21" s="1"/>
  <c r="I38" i="21" s="1"/>
  <c r="M45" i="8"/>
  <c r="M23" i="10"/>
  <c r="M24" i="10" s="1"/>
  <c r="J33" i="21" s="1"/>
  <c r="J35" i="21" s="1"/>
  <c r="K41" i="8"/>
  <c r="K19" i="10"/>
  <c r="K20" i="10" s="1"/>
  <c r="H30" i="21" s="1"/>
  <c r="H32" i="21" s="1"/>
  <c r="J49" i="8"/>
  <c r="J27" i="10"/>
  <c r="J28" i="10" s="1"/>
  <c r="G36" i="21" s="1"/>
  <c r="G38" i="21" s="1"/>
  <c r="F49" i="8"/>
  <c r="F27" i="10"/>
  <c r="AJ44" i="21"/>
  <c r="AN44" i="21"/>
  <c r="AO44" i="21"/>
  <c r="AH44" i="21"/>
  <c r="AL44" i="21"/>
  <c r="AE44" i="21"/>
  <c r="AM44" i="21"/>
  <c r="AI44" i="21"/>
  <c r="AK43" i="21"/>
  <c r="AF43" i="21"/>
  <c r="AD23" i="19"/>
  <c r="AD28" i="19"/>
  <c r="AD69" i="10" s="1"/>
  <c r="AD70" i="10" s="1"/>
  <c r="AD19" i="19"/>
  <c r="Q33" i="21"/>
  <c r="Q35" i="21" s="1"/>
  <c r="X30" i="21"/>
  <c r="X32" i="21" s="1"/>
  <c r="K30" i="21"/>
  <c r="K32" i="21" s="1"/>
  <c r="AB33" i="21"/>
  <c r="AB35" i="21" s="1"/>
  <c r="U30" i="21"/>
  <c r="U32" i="21" s="1"/>
  <c r="R33" i="21"/>
  <c r="R35" i="21" s="1"/>
  <c r="X36" i="21"/>
  <c r="X38" i="21" s="1"/>
  <c r="Z33" i="21"/>
  <c r="Z35" i="21" s="1"/>
  <c r="Y36" i="21"/>
  <c r="Y38" i="21" s="1"/>
  <c r="F59" i="21"/>
  <c r="Z36" i="21"/>
  <c r="Z38" i="21" s="1"/>
  <c r="AB30" i="21"/>
  <c r="AB32" i="21" s="1"/>
  <c r="E24" i="10"/>
  <c r="V30" i="21"/>
  <c r="V32" i="21" s="1"/>
  <c r="Y30" i="21"/>
  <c r="Y32" i="21" s="1"/>
  <c r="M30" i="21"/>
  <c r="M32" i="21" s="1"/>
  <c r="N36" i="21"/>
  <c r="N38" i="21" s="1"/>
  <c r="T36" i="21"/>
  <c r="T38" i="21" s="1"/>
  <c r="L30" i="21"/>
  <c r="L32" i="21" s="1"/>
  <c r="O30" i="21"/>
  <c r="O32" i="21" s="1"/>
  <c r="N33" i="21"/>
  <c r="N35" i="21" s="1"/>
  <c r="Z30" i="21"/>
  <c r="Z32" i="21" s="1"/>
  <c r="S36" i="21"/>
  <c r="S38" i="21" s="1"/>
  <c r="AB36" i="21"/>
  <c r="AB38" i="21" s="1"/>
  <c r="V33" i="21"/>
  <c r="V35" i="21" s="1"/>
  <c r="T33" i="21"/>
  <c r="T35" i="21" s="1"/>
  <c r="R36" i="21"/>
  <c r="R38" i="21" s="1"/>
  <c r="U36" i="21"/>
  <c r="U38" i="21" s="1"/>
  <c r="P36" i="21"/>
  <c r="P38" i="21" s="1"/>
  <c r="Y33" i="21"/>
  <c r="Y35" i="21" s="1"/>
  <c r="S33" i="21"/>
  <c r="S35" i="21" s="1"/>
  <c r="K33" i="21"/>
  <c r="K35" i="21" s="1"/>
  <c r="Q36" i="21"/>
  <c r="Q38" i="21" s="1"/>
  <c r="M36" i="21"/>
  <c r="M38" i="21" s="1"/>
  <c r="K36" i="21"/>
  <c r="K38" i="21" s="1"/>
  <c r="V36" i="21"/>
  <c r="V38" i="21" s="1"/>
  <c r="X33" i="21"/>
  <c r="X35" i="21" s="1"/>
  <c r="AC33" i="21"/>
  <c r="AC35" i="21" s="1"/>
  <c r="S30" i="21"/>
  <c r="S32" i="21" s="1"/>
  <c r="AC30" i="21"/>
  <c r="AC32" i="21" s="1"/>
  <c r="R30" i="21"/>
  <c r="R32" i="21" s="1"/>
  <c r="W36" i="21"/>
  <c r="W38" i="21" s="1"/>
  <c r="O33" i="21"/>
  <c r="O35" i="21" s="1"/>
  <c r="U33" i="21"/>
  <c r="U35" i="21" s="1"/>
  <c r="T30" i="21"/>
  <c r="T32" i="21" s="1"/>
  <c r="Q30" i="21"/>
  <c r="Q32" i="21" s="1"/>
  <c r="W30" i="21"/>
  <c r="W32" i="21" s="1"/>
  <c r="L36" i="21"/>
  <c r="L38" i="21" s="1"/>
  <c r="L33" i="21"/>
  <c r="L35" i="21" s="1"/>
  <c r="AC36" i="21"/>
  <c r="AC38" i="21" s="1"/>
  <c r="G30" i="21"/>
  <c r="G32" i="21" s="1"/>
  <c r="P33" i="21"/>
  <c r="P35" i="21" s="1"/>
  <c r="O36" i="21"/>
  <c r="O38" i="21" s="1"/>
  <c r="H33" i="21"/>
  <c r="H35" i="21" s="1"/>
  <c r="W33" i="21"/>
  <c r="W35" i="21" s="1"/>
  <c r="H36" i="21"/>
  <c r="H38" i="21" s="1"/>
  <c r="Q39" i="21" l="1"/>
  <c r="V39" i="21"/>
  <c r="F20" i="10"/>
  <c r="D19" i="10"/>
  <c r="F28" i="10"/>
  <c r="D27" i="10"/>
  <c r="D23" i="10"/>
  <c r="D24" i="10"/>
  <c r="D33" i="21"/>
  <c r="D30" i="21"/>
  <c r="D36" i="21"/>
  <c r="AP44" i="21"/>
  <c r="AD24" i="19"/>
  <c r="AD64" i="10"/>
  <c r="AD65" i="10" s="1"/>
  <c r="AF44" i="21"/>
  <c r="AK44" i="21"/>
  <c r="AD29" i="19"/>
  <c r="F36" i="5"/>
  <c r="G8" i="10" s="1"/>
  <c r="G9" i="10" s="1"/>
  <c r="X36" i="5"/>
  <c r="X37" i="5" s="1"/>
  <c r="S36" i="5"/>
  <c r="S37" i="5" s="1"/>
  <c r="U36" i="5"/>
  <c r="U37" i="5" s="1"/>
  <c r="T36" i="5"/>
  <c r="U8" i="10" s="1"/>
  <c r="U9" i="10" s="1"/>
  <c r="I36" i="5"/>
  <c r="J8" i="10" s="1"/>
  <c r="J9" i="10" s="1"/>
  <c r="R36" i="5"/>
  <c r="S8" i="10" s="1"/>
  <c r="S9" i="10" s="1"/>
  <c r="M36" i="5"/>
  <c r="N8" i="10" s="1"/>
  <c r="N9" i="10" s="1"/>
  <c r="AE36" i="5"/>
  <c r="AE37" i="5" s="1"/>
  <c r="N36" i="5"/>
  <c r="N37" i="5" s="1"/>
  <c r="D36" i="5"/>
  <c r="E8" i="10" s="1"/>
  <c r="V36" i="5"/>
  <c r="V37" i="5" s="1"/>
  <c r="AC36" i="5"/>
  <c r="AD8" i="10" s="1"/>
  <c r="AD9" i="10" s="1"/>
  <c r="AA16" i="21" s="1"/>
  <c r="E36" i="5"/>
  <c r="E37" i="5" s="1"/>
  <c r="O36" i="5"/>
  <c r="P8" i="10" s="1"/>
  <c r="P9" i="10" s="1"/>
  <c r="J36" i="5"/>
  <c r="K8" i="10" s="1"/>
  <c r="K9" i="10" s="1"/>
  <c r="AB36" i="5"/>
  <c r="AC8" i="10" s="1"/>
  <c r="AC9" i="10" s="1"/>
  <c r="AD36" i="5"/>
  <c r="AE8" i="10" s="1"/>
  <c r="AE9" i="10" s="1"/>
  <c r="G36" i="5"/>
  <c r="G37" i="5" s="1"/>
  <c r="Y36" i="5"/>
  <c r="Y37" i="5" s="1"/>
  <c r="H36" i="5"/>
  <c r="I8" i="10" s="1"/>
  <c r="I9" i="10" s="1"/>
  <c r="Z36" i="5"/>
  <c r="AA8" i="10" s="1"/>
  <c r="AA9" i="10" s="1"/>
  <c r="L36" i="5"/>
  <c r="K36" i="5"/>
  <c r="P36" i="5"/>
  <c r="Q36" i="5"/>
  <c r="AA36" i="5"/>
  <c r="W36" i="5"/>
  <c r="AD60" i="10"/>
  <c r="F61" i="21"/>
  <c r="F62" i="21" s="1"/>
  <c r="E28" i="10"/>
  <c r="E20" i="10"/>
  <c r="N24" i="5"/>
  <c r="D32" i="21" l="1"/>
  <c r="D20" i="10"/>
  <c r="D38" i="21"/>
  <c r="D35" i="21"/>
  <c r="D39" i="21" s="1"/>
  <c r="D28" i="10"/>
  <c r="AA46" i="21"/>
  <c r="R37" i="5"/>
  <c r="AA17" i="21"/>
  <c r="M37" i="5"/>
  <c r="I37" i="5"/>
  <c r="Y8" i="10"/>
  <c r="Y9" i="10" s="1"/>
  <c r="V16" i="21" s="1"/>
  <c r="Z8" i="10"/>
  <c r="Z9" i="10" s="1"/>
  <c r="W16" i="21" s="1"/>
  <c r="T8" i="10"/>
  <c r="T9" i="10" s="1"/>
  <c r="Q16" i="21" s="1"/>
  <c r="AC37" i="5"/>
  <c r="F37" i="5"/>
  <c r="T37" i="5"/>
  <c r="F8" i="10"/>
  <c r="F9" i="10" s="1"/>
  <c r="V8" i="10"/>
  <c r="V9" i="10" s="1"/>
  <c r="S16" i="21" s="1"/>
  <c r="D37" i="5"/>
  <c r="AF8" i="10"/>
  <c r="AF9" i="10" s="1"/>
  <c r="AC16" i="21" s="1"/>
  <c r="J37" i="5"/>
  <c r="AD37" i="5"/>
  <c r="O8" i="10"/>
  <c r="O9" i="10" s="1"/>
  <c r="L16" i="21" s="1"/>
  <c r="W8" i="10"/>
  <c r="W9" i="10" s="1"/>
  <c r="T16" i="21" s="1"/>
  <c r="Z37" i="5"/>
  <c r="AB37" i="5"/>
  <c r="O37" i="5"/>
  <c r="H37" i="5"/>
  <c r="H8" i="10"/>
  <c r="H9" i="10" s="1"/>
  <c r="E16" i="21" s="1"/>
  <c r="L8" i="10"/>
  <c r="L9" i="10" s="1"/>
  <c r="I16" i="21" s="1"/>
  <c r="K37" i="5"/>
  <c r="X8" i="10"/>
  <c r="X9" i="10" s="1"/>
  <c r="U16" i="21" s="1"/>
  <c r="W37" i="5"/>
  <c r="P37" i="5"/>
  <c r="Q8" i="10"/>
  <c r="Q9" i="10" s="1"/>
  <c r="N16" i="21" s="1"/>
  <c r="AB8" i="10"/>
  <c r="AB9" i="10" s="1"/>
  <c r="Y16" i="21" s="1"/>
  <c r="AA37" i="5"/>
  <c r="L37" i="5"/>
  <c r="M8" i="10"/>
  <c r="M9" i="10" s="1"/>
  <c r="J16" i="21" s="1"/>
  <c r="R8" i="10"/>
  <c r="R9" i="10" s="1"/>
  <c r="O16" i="21" s="1"/>
  <c r="Q37" i="5"/>
  <c r="H16" i="21"/>
  <c r="P16" i="21"/>
  <c r="K16" i="21"/>
  <c r="F16" i="21"/>
  <c r="AB16" i="21"/>
  <c r="Z16" i="21"/>
  <c r="R16" i="21"/>
  <c r="X16" i="21"/>
  <c r="G16" i="21"/>
  <c r="M16" i="21"/>
  <c r="G12" i="5"/>
  <c r="H12" i="5"/>
  <c r="Z12" i="5"/>
  <c r="AC12" i="5"/>
  <c r="AB12" i="5"/>
  <c r="AD12" i="5"/>
  <c r="U12" i="5"/>
  <c r="O12" i="5"/>
  <c r="W12" i="5"/>
  <c r="Q12" i="5"/>
  <c r="P12" i="5"/>
  <c r="J12" i="5"/>
  <c r="N12" i="5"/>
  <c r="Y12" i="5"/>
  <c r="X12" i="5"/>
  <c r="T12" i="5"/>
  <c r="V12" i="5"/>
  <c r="R12" i="5"/>
  <c r="K12" i="5"/>
  <c r="M12" i="5"/>
  <c r="AA12" i="5"/>
  <c r="L12" i="5"/>
  <c r="I12" i="5"/>
  <c r="F12" i="5"/>
  <c r="S12" i="5"/>
  <c r="E12" i="5"/>
  <c r="AE12" i="5"/>
  <c r="I24" i="5"/>
  <c r="K24" i="5"/>
  <c r="X24" i="5"/>
  <c r="AB24" i="5"/>
  <c r="AC24" i="5"/>
  <c r="R24" i="5"/>
  <c r="W24" i="5"/>
  <c r="E24" i="5"/>
  <c r="H24" i="5"/>
  <c r="U24" i="5"/>
  <c r="G24" i="5"/>
  <c r="J24" i="5"/>
  <c r="Q24" i="5"/>
  <c r="F24" i="5"/>
  <c r="P24" i="5"/>
  <c r="AE24" i="5"/>
  <c r="L24" i="5"/>
  <c r="AA47" i="21" l="1"/>
  <c r="E19" i="1"/>
  <c r="D16" i="21"/>
  <c r="E17" i="21"/>
  <c r="H17" i="21"/>
  <c r="L17" i="21"/>
  <c r="Q17" i="21"/>
  <c r="P17" i="21"/>
  <c r="O17" i="21"/>
  <c r="X17" i="21"/>
  <c r="I17" i="21"/>
  <c r="J17" i="21"/>
  <c r="M17" i="21"/>
  <c r="G17" i="21"/>
  <c r="V17" i="21"/>
  <c r="Y17" i="21"/>
  <c r="N17" i="21"/>
  <c r="S17" i="21"/>
  <c r="U17" i="21"/>
  <c r="W17" i="21"/>
  <c r="T17" i="21"/>
  <c r="AO27" i="21"/>
  <c r="AC17" i="21"/>
  <c r="R17" i="21"/>
  <c r="Z17" i="21"/>
  <c r="AB17" i="21"/>
  <c r="F17" i="21"/>
  <c r="K17" i="21"/>
  <c r="D8" i="10"/>
  <c r="D12" i="5"/>
  <c r="E9" i="10"/>
  <c r="D9" i="10" s="1"/>
  <c r="E18" i="1"/>
  <c r="E20" i="1"/>
  <c r="O24" i="5"/>
  <c r="AA24" i="5"/>
  <c r="Y24" i="5"/>
  <c r="S24" i="5"/>
  <c r="T24" i="5"/>
  <c r="Z24" i="5"/>
  <c r="AD24" i="5"/>
  <c r="V24" i="5"/>
  <c r="M24" i="5"/>
  <c r="D24" i="5"/>
  <c r="D17" i="21" l="1"/>
  <c r="E10" i="1" s="1"/>
  <c r="AE10" i="9" l="1"/>
  <c r="AC10" i="9"/>
  <c r="S10" i="9"/>
  <c r="Y10" i="9"/>
  <c r="Z10" i="9"/>
  <c r="AA10" i="9"/>
  <c r="S46" i="10" l="1"/>
  <c r="S13" i="19"/>
  <c r="AA46" i="10"/>
  <c r="AA13" i="19"/>
  <c r="Z46" i="10"/>
  <c r="Z13" i="19"/>
  <c r="Y46" i="10"/>
  <c r="Y13" i="19"/>
  <c r="AC46" i="10"/>
  <c r="AC13" i="19"/>
  <c r="AE46" i="10"/>
  <c r="AE13" i="19"/>
  <c r="Z14" i="9"/>
  <c r="Z51" i="10" s="1"/>
  <c r="O13" i="9"/>
  <c r="O50" i="10" s="1"/>
  <c r="M13" i="9"/>
  <c r="M50" i="10" s="1"/>
  <c r="H13" i="9"/>
  <c r="H50" i="10" s="1"/>
  <c r="X13" i="9"/>
  <c r="X50" i="10" s="1"/>
  <c r="W13" i="9"/>
  <c r="W50" i="10" s="1"/>
  <c r="AA13" i="9"/>
  <c r="AA50" i="10" s="1"/>
  <c r="K13" i="9"/>
  <c r="K50" i="10" s="1"/>
  <c r="I13" i="9"/>
  <c r="I50" i="10" s="1"/>
  <c r="AE13" i="9"/>
  <c r="AE50" i="10" s="1"/>
  <c r="AF13" i="9"/>
  <c r="AF50" i="10" s="1"/>
  <c r="Y124" i="13"/>
  <c r="Z9" i="9"/>
  <c r="U9" i="9"/>
  <c r="W10" i="9"/>
  <c r="T10" i="9"/>
  <c r="P10" i="9"/>
  <c r="I10" i="9"/>
  <c r="AF9" i="9"/>
  <c r="AC14" i="9"/>
  <c r="AC51" i="10" s="1"/>
  <c r="H9" i="9"/>
  <c r="M10" i="9"/>
  <c r="J9" i="9"/>
  <c r="N9" i="9"/>
  <c r="R10" i="9"/>
  <c r="I9" i="9"/>
  <c r="V9" i="9"/>
  <c r="L9" i="9"/>
  <c r="Q10" i="9"/>
  <c r="U10" i="9"/>
  <c r="N10" i="9"/>
  <c r="L10" i="9"/>
  <c r="J10" i="9"/>
  <c r="D120" i="13"/>
  <c r="E10" i="9"/>
  <c r="AA14" i="9"/>
  <c r="AA51" i="10" s="1"/>
  <c r="Y14" i="9"/>
  <c r="Y51" i="10" s="1"/>
  <c r="S14" i="9"/>
  <c r="S51" i="10" s="1"/>
  <c r="X10" i="9"/>
  <c r="V10" i="9"/>
  <c r="O9" i="9"/>
  <c r="AF10" i="9"/>
  <c r="AB13" i="9"/>
  <c r="AB50" i="10" s="1"/>
  <c r="P13" i="9"/>
  <c r="P50" i="10" s="1"/>
  <c r="E9" i="9"/>
  <c r="R9" i="9"/>
  <c r="S9" i="9"/>
  <c r="R124" i="13"/>
  <c r="Y9" i="9"/>
  <c r="X124" i="13"/>
  <c r="Q9" i="9"/>
  <c r="AC9" i="9"/>
  <c r="AB124" i="13"/>
  <c r="T9" i="9"/>
  <c r="M9" i="9"/>
  <c r="AE9" i="9"/>
  <c r="AD124" i="13"/>
  <c r="W9" i="9"/>
  <c r="K9" i="9"/>
  <c r="X9" i="9"/>
  <c r="Z124" i="13"/>
  <c r="AA9" i="9"/>
  <c r="AB10" i="9"/>
  <c r="K10" i="9"/>
  <c r="O10" i="9"/>
  <c r="H10" i="9"/>
  <c r="AB9" i="9"/>
  <c r="P9" i="9"/>
  <c r="AE14" i="9"/>
  <c r="AE51" i="10" s="1"/>
  <c r="E46" i="10" l="1"/>
  <c r="E13" i="19"/>
  <c r="Q45" i="10"/>
  <c r="Q12" i="19"/>
  <c r="N46" i="10"/>
  <c r="N13" i="19"/>
  <c r="T46" i="10"/>
  <c r="T13" i="19"/>
  <c r="AB46" i="10"/>
  <c r="AB13" i="19"/>
  <c r="U46" i="10"/>
  <c r="U13" i="19"/>
  <c r="V45" i="10"/>
  <c r="V12" i="19"/>
  <c r="P45" i="10"/>
  <c r="P12" i="19"/>
  <c r="AF45" i="10"/>
  <c r="AF12" i="19"/>
  <c r="J46" i="10"/>
  <c r="J13" i="19"/>
  <c r="Z34" i="19"/>
  <c r="Z44" i="19"/>
  <c r="Z39" i="19"/>
  <c r="H46" i="10"/>
  <c r="H13" i="19"/>
  <c r="P46" i="10"/>
  <c r="P13" i="19"/>
  <c r="W46" i="10"/>
  <c r="W13" i="19"/>
  <c r="Q46" i="10"/>
  <c r="Q13" i="19"/>
  <c r="L45" i="10"/>
  <c r="L12" i="19"/>
  <c r="K45" i="10"/>
  <c r="K12" i="19"/>
  <c r="AC45" i="10"/>
  <c r="AC47" i="10" s="1"/>
  <c r="AC12" i="19"/>
  <c r="O46" i="10"/>
  <c r="O13" i="19"/>
  <c r="L46" i="10"/>
  <c r="L13" i="19"/>
  <c r="U45" i="10"/>
  <c r="U12" i="19"/>
  <c r="Y34" i="19"/>
  <c r="Y44" i="19"/>
  <c r="Y39" i="19"/>
  <c r="AA44" i="19"/>
  <c r="AA34" i="19"/>
  <c r="AA39" i="19"/>
  <c r="I46" i="10"/>
  <c r="I13" i="19"/>
  <c r="AC44" i="19"/>
  <c r="AC34" i="19"/>
  <c r="AC39" i="19"/>
  <c r="E45" i="10"/>
  <c r="E12" i="19"/>
  <c r="X45" i="10"/>
  <c r="X12" i="19"/>
  <c r="AF46" i="10"/>
  <c r="AF13" i="19"/>
  <c r="R46" i="10"/>
  <c r="R13" i="19"/>
  <c r="Y45" i="10"/>
  <c r="Y47" i="10" s="1"/>
  <c r="Y12" i="19"/>
  <c r="K46" i="10"/>
  <c r="K13" i="19"/>
  <c r="S45" i="10"/>
  <c r="S47" i="10" s="1"/>
  <c r="S12" i="19"/>
  <c r="AA45" i="10"/>
  <c r="AA47" i="10" s="1"/>
  <c r="AA12" i="19"/>
  <c r="W45" i="10"/>
  <c r="W12" i="19"/>
  <c r="O45" i="10"/>
  <c r="O12" i="19"/>
  <c r="AE45" i="10"/>
  <c r="AE47" i="10" s="1"/>
  <c r="AE12" i="19"/>
  <c r="N45" i="10"/>
  <c r="N12" i="19"/>
  <c r="X46" i="10"/>
  <c r="X13" i="19"/>
  <c r="M46" i="10"/>
  <c r="M13" i="19"/>
  <c r="S34" i="19"/>
  <c r="S39" i="19"/>
  <c r="S44" i="19"/>
  <c r="AB45" i="10"/>
  <c r="AB12" i="19"/>
  <c r="AE44" i="19"/>
  <c r="AE34" i="19"/>
  <c r="AE39" i="19"/>
  <c r="R45" i="10"/>
  <c r="R12" i="19"/>
  <c r="Z45" i="10"/>
  <c r="Z47" i="10" s="1"/>
  <c r="Z12" i="19"/>
  <c r="I45" i="10"/>
  <c r="I12" i="19"/>
  <c r="V46" i="10"/>
  <c r="V13" i="19"/>
  <c r="M45" i="10"/>
  <c r="M12" i="19"/>
  <c r="J45" i="10"/>
  <c r="J12" i="19"/>
  <c r="T45" i="10"/>
  <c r="T12" i="19"/>
  <c r="H45" i="10"/>
  <c r="H12" i="19"/>
  <c r="AA52" i="10"/>
  <c r="AE52" i="10"/>
  <c r="H124" i="13"/>
  <c r="V124" i="13"/>
  <c r="J124" i="13"/>
  <c r="S124" i="13"/>
  <c r="O124" i="13"/>
  <c r="L124" i="13"/>
  <c r="W124" i="13"/>
  <c r="D124" i="13"/>
  <c r="P124" i="13"/>
  <c r="U14" i="9"/>
  <c r="U51" i="10" s="1"/>
  <c r="K14" i="9"/>
  <c r="K51" i="10" s="1"/>
  <c r="K52" i="10" s="1"/>
  <c r="T14" i="9"/>
  <c r="T51" i="10" s="1"/>
  <c r="J14" i="9"/>
  <c r="J51" i="10" s="1"/>
  <c r="AB14" i="9"/>
  <c r="AB51" i="10" s="1"/>
  <c r="AB52" i="10" s="1"/>
  <c r="W14" i="9"/>
  <c r="W51" i="10" s="1"/>
  <c r="W52" i="10" s="1"/>
  <c r="X14" i="9"/>
  <c r="X51" i="10" s="1"/>
  <c r="X52" i="10" s="1"/>
  <c r="I14" i="9"/>
  <c r="I51" i="10" s="1"/>
  <c r="I52" i="10" s="1"/>
  <c r="AA124" i="13"/>
  <c r="AF14" i="9"/>
  <c r="AF51" i="10" s="1"/>
  <c r="AF52" i="10" s="1"/>
  <c r="N14" i="9"/>
  <c r="N51" i="10" s="1"/>
  <c r="Q14" i="9"/>
  <c r="Q51" i="10" s="1"/>
  <c r="I124" i="13"/>
  <c r="Q13" i="9"/>
  <c r="Q50" i="10" s="1"/>
  <c r="U124" i="13"/>
  <c r="N11" i="9"/>
  <c r="G124" i="13"/>
  <c r="U13" i="9"/>
  <c r="U50" i="10" s="1"/>
  <c r="AF11" i="9"/>
  <c r="U11" i="9"/>
  <c r="K11" i="9"/>
  <c r="T11" i="9"/>
  <c r="Q11" i="9"/>
  <c r="S11" i="9"/>
  <c r="E11" i="9"/>
  <c r="V14" i="9"/>
  <c r="V51" i="10" s="1"/>
  <c r="N13" i="9"/>
  <c r="N50" i="10" s="1"/>
  <c r="J13" i="9"/>
  <c r="J50" i="10" s="1"/>
  <c r="V11" i="9"/>
  <c r="I11" i="9"/>
  <c r="H11" i="9"/>
  <c r="L11" i="9"/>
  <c r="J11" i="9"/>
  <c r="Z11" i="9"/>
  <c r="E13" i="9"/>
  <c r="E50" i="10" s="1"/>
  <c r="AA11" i="9"/>
  <c r="R11" i="9"/>
  <c r="V13" i="9"/>
  <c r="V50" i="10" s="1"/>
  <c r="T13" i="9"/>
  <c r="T50" i="10" s="1"/>
  <c r="S13" i="9"/>
  <c r="S50" i="10" s="1"/>
  <c r="S52" i="10" s="1"/>
  <c r="P11" i="9"/>
  <c r="Q124" i="13"/>
  <c r="N124" i="13"/>
  <c r="E14" i="9"/>
  <c r="E51" i="10" s="1"/>
  <c r="L14" i="9"/>
  <c r="L51" i="10" s="1"/>
  <c r="K124" i="13"/>
  <c r="R14" i="9"/>
  <c r="R51" i="10" s="1"/>
  <c r="Z13" i="9"/>
  <c r="Z50" i="10" s="1"/>
  <c r="Z52" i="10" s="1"/>
  <c r="AE15" i="9"/>
  <c r="AA15" i="9"/>
  <c r="W11" i="9"/>
  <c r="AE11" i="9"/>
  <c r="R13" i="9"/>
  <c r="R50" i="10" s="1"/>
  <c r="M11" i="9"/>
  <c r="O11" i="9"/>
  <c r="L13" i="9"/>
  <c r="L50" i="10" s="1"/>
  <c r="Y13" i="9"/>
  <c r="Y50" i="10" s="1"/>
  <c r="Y52" i="10" s="1"/>
  <c r="AC13" i="9"/>
  <c r="AC50" i="10" s="1"/>
  <c r="AC52" i="10" s="1"/>
  <c r="AB11" i="9"/>
  <c r="X11" i="9"/>
  <c r="AC11" i="9"/>
  <c r="Y11" i="9"/>
  <c r="M124" i="13"/>
  <c r="AE124" i="13"/>
  <c r="T124" i="13"/>
  <c r="L47" i="10" l="1"/>
  <c r="I43" i="21" s="1"/>
  <c r="AF47" i="10"/>
  <c r="AC43" i="21" s="1"/>
  <c r="R47" i="10"/>
  <c r="O43" i="21" s="1"/>
  <c r="T47" i="10"/>
  <c r="Q43" i="21" s="1"/>
  <c r="Y54" i="10"/>
  <c r="M47" i="10"/>
  <c r="J43" i="21" s="1"/>
  <c r="Q47" i="10"/>
  <c r="N43" i="21" s="1"/>
  <c r="J47" i="10"/>
  <c r="G43" i="21" s="1"/>
  <c r="K47" i="10"/>
  <c r="H43" i="21" s="1"/>
  <c r="H47" i="10"/>
  <c r="E43" i="21" s="1"/>
  <c r="X47" i="10"/>
  <c r="U43" i="21" s="1"/>
  <c r="N47" i="10"/>
  <c r="K43" i="21" s="1"/>
  <c r="AB47" i="10"/>
  <c r="Y43" i="21" s="1"/>
  <c r="P47" i="10"/>
  <c r="M43" i="21" s="1"/>
  <c r="O47" i="10"/>
  <c r="V47" i="10"/>
  <c r="S43" i="21" s="1"/>
  <c r="I47" i="10"/>
  <c r="F43" i="21" s="1"/>
  <c r="U47" i="10"/>
  <c r="R43" i="21" s="1"/>
  <c r="D50" i="10"/>
  <c r="D45" i="10"/>
  <c r="W47" i="10"/>
  <c r="T43" i="21" s="1"/>
  <c r="D46" i="10"/>
  <c r="P43" i="19"/>
  <c r="P38" i="19"/>
  <c r="P33" i="19"/>
  <c r="W34" i="19"/>
  <c r="W44" i="19"/>
  <c r="W39" i="19"/>
  <c r="V43" i="19"/>
  <c r="V33" i="19"/>
  <c r="V38" i="19"/>
  <c r="H33" i="19"/>
  <c r="H38" i="19"/>
  <c r="H43" i="19"/>
  <c r="AE43" i="19"/>
  <c r="AE45" i="19" s="1"/>
  <c r="AE38" i="19"/>
  <c r="AE40" i="19" s="1"/>
  <c r="AE33" i="19"/>
  <c r="AE35" i="19" s="1"/>
  <c r="T33" i="19"/>
  <c r="T43" i="19"/>
  <c r="T38" i="19"/>
  <c r="E43" i="19"/>
  <c r="E33" i="19"/>
  <c r="E38" i="19"/>
  <c r="P39" i="19"/>
  <c r="P34" i="19"/>
  <c r="P44" i="19"/>
  <c r="U39" i="19"/>
  <c r="U34" i="19"/>
  <c r="U44" i="19"/>
  <c r="U38" i="19"/>
  <c r="U33" i="19"/>
  <c r="U43" i="19"/>
  <c r="M43" i="19"/>
  <c r="M33" i="19"/>
  <c r="M38" i="19"/>
  <c r="AA38" i="19"/>
  <c r="AA40" i="19" s="1"/>
  <c r="AA43" i="19"/>
  <c r="AA45" i="19" s="1"/>
  <c r="AA33" i="19"/>
  <c r="AA35" i="19" s="1"/>
  <c r="L44" i="19"/>
  <c r="L34" i="19"/>
  <c r="L39" i="19"/>
  <c r="H34" i="19"/>
  <c r="H44" i="19"/>
  <c r="H39" i="19"/>
  <c r="AB44" i="19"/>
  <c r="AB39" i="19"/>
  <c r="AB34" i="19"/>
  <c r="S38" i="19"/>
  <c r="S40" i="19" s="1"/>
  <c r="S43" i="19"/>
  <c r="S45" i="19" s="1"/>
  <c r="S33" i="19"/>
  <c r="S35" i="19" s="1"/>
  <c r="O39" i="19"/>
  <c r="O44" i="19"/>
  <c r="O34" i="19"/>
  <c r="T39" i="19"/>
  <c r="T34" i="19"/>
  <c r="T44" i="19"/>
  <c r="AF44" i="19"/>
  <c r="AF34" i="19"/>
  <c r="AF39" i="19"/>
  <c r="M44" i="19"/>
  <c r="M39" i="19"/>
  <c r="M34" i="19"/>
  <c r="K44" i="19"/>
  <c r="K34" i="19"/>
  <c r="K39" i="19"/>
  <c r="I44" i="19"/>
  <c r="I39" i="19"/>
  <c r="I34" i="19"/>
  <c r="AC43" i="19"/>
  <c r="AC45" i="19" s="1"/>
  <c r="AC33" i="19"/>
  <c r="AC35" i="19" s="1"/>
  <c r="AC38" i="19"/>
  <c r="AC40" i="19" s="1"/>
  <c r="N39" i="19"/>
  <c r="N44" i="19"/>
  <c r="N34" i="19"/>
  <c r="O43" i="19"/>
  <c r="O38" i="19"/>
  <c r="O33" i="19"/>
  <c r="J43" i="19"/>
  <c r="J38" i="19"/>
  <c r="J33" i="19"/>
  <c r="X33" i="19"/>
  <c r="X43" i="19"/>
  <c r="X38" i="19"/>
  <c r="W33" i="19"/>
  <c r="W38" i="19"/>
  <c r="W43" i="19"/>
  <c r="I43" i="19"/>
  <c r="I33" i="19"/>
  <c r="I38" i="19"/>
  <c r="Z33" i="19"/>
  <c r="Z35" i="19" s="1"/>
  <c r="Z43" i="19"/>
  <c r="Z45" i="19" s="1"/>
  <c r="Z38" i="19"/>
  <c r="Z40" i="19" s="1"/>
  <c r="X34" i="19"/>
  <c r="X39" i="19"/>
  <c r="X44" i="19"/>
  <c r="Y33" i="19"/>
  <c r="Y35" i="19" s="1"/>
  <c r="Y38" i="19"/>
  <c r="Y40" i="19" s="1"/>
  <c r="Y43" i="19"/>
  <c r="Y45" i="19" s="1"/>
  <c r="K33" i="19"/>
  <c r="K43" i="19"/>
  <c r="K38" i="19"/>
  <c r="J34" i="19"/>
  <c r="J44" i="19"/>
  <c r="J39" i="19"/>
  <c r="Q38" i="19"/>
  <c r="Q43" i="19"/>
  <c r="Q33" i="19"/>
  <c r="Q39" i="19"/>
  <c r="Q34" i="19"/>
  <c r="Q44" i="19"/>
  <c r="AB38" i="19"/>
  <c r="AB43" i="19"/>
  <c r="AB33" i="19"/>
  <c r="V34" i="19"/>
  <c r="V39" i="19"/>
  <c r="V44" i="19"/>
  <c r="R38" i="19"/>
  <c r="R33" i="19"/>
  <c r="R43" i="19"/>
  <c r="N43" i="19"/>
  <c r="N38" i="19"/>
  <c r="N33" i="19"/>
  <c r="R39" i="19"/>
  <c r="R34" i="19"/>
  <c r="R44" i="19"/>
  <c r="L33" i="19"/>
  <c r="L38" i="19"/>
  <c r="L43" i="19"/>
  <c r="AF43" i="19"/>
  <c r="AF33" i="19"/>
  <c r="AF38" i="19"/>
  <c r="E39" i="19"/>
  <c r="E34" i="19"/>
  <c r="E44" i="19"/>
  <c r="R52" i="10"/>
  <c r="U52" i="10"/>
  <c r="L52" i="10"/>
  <c r="J52" i="10"/>
  <c r="N52" i="10"/>
  <c r="V52" i="10"/>
  <c r="T52" i="10"/>
  <c r="Q52" i="10"/>
  <c r="W15" i="9"/>
  <c r="Z15" i="9"/>
  <c r="AC15" i="9"/>
  <c r="S15" i="9"/>
  <c r="Y15" i="9"/>
  <c r="Q15" i="9"/>
  <c r="AB43" i="21"/>
  <c r="U15" i="9"/>
  <c r="J15" i="9"/>
  <c r="AB15" i="9"/>
  <c r="X15" i="9"/>
  <c r="T15" i="9"/>
  <c r="K15" i="9"/>
  <c r="AF15" i="9"/>
  <c r="V15" i="9"/>
  <c r="W43" i="21"/>
  <c r="L15" i="9"/>
  <c r="AA43" i="21"/>
  <c r="N15" i="9"/>
  <c r="I15" i="9"/>
  <c r="R15" i="9"/>
  <c r="M14" i="9"/>
  <c r="M51" i="10" s="1"/>
  <c r="M52" i="10" s="1"/>
  <c r="P14" i="9"/>
  <c r="P51" i="10" s="1"/>
  <c r="P52" i="10" s="1"/>
  <c r="O14" i="9"/>
  <c r="O51" i="10" s="1"/>
  <c r="O52" i="10" s="1"/>
  <c r="D128" i="13"/>
  <c r="E15" i="9"/>
  <c r="H14" i="9"/>
  <c r="H51" i="10" s="1"/>
  <c r="H52" i="10" s="1"/>
  <c r="V43" i="21"/>
  <c r="P43" i="21"/>
  <c r="X43" i="21"/>
  <c r="Z43" i="21"/>
  <c r="E47" i="10"/>
  <c r="T54" i="10" l="1"/>
  <c r="N35" i="19"/>
  <c r="E44" i="21"/>
  <c r="L43" i="21"/>
  <c r="D43" i="21" s="1"/>
  <c r="O54" i="10"/>
  <c r="K45" i="19"/>
  <c r="O40" i="19"/>
  <c r="U40" i="19"/>
  <c r="U35" i="19"/>
  <c r="L40" i="19"/>
  <c r="D47" i="10"/>
  <c r="R40" i="19"/>
  <c r="L45" i="19"/>
  <c r="U45" i="19"/>
  <c r="T40" i="19"/>
  <c r="J35" i="19"/>
  <c r="AF35" i="19"/>
  <c r="R35" i="19"/>
  <c r="AB35" i="19"/>
  <c r="AF45" i="19"/>
  <c r="K40" i="19"/>
  <c r="X40" i="19"/>
  <c r="V45" i="19"/>
  <c r="O35" i="19"/>
  <c r="N45" i="19"/>
  <c r="X35" i="19"/>
  <c r="V35" i="19"/>
  <c r="D51" i="10"/>
  <c r="J45" i="19"/>
  <c r="M40" i="19"/>
  <c r="AF40" i="19"/>
  <c r="R45" i="19"/>
  <c r="W35" i="19"/>
  <c r="H35" i="19"/>
  <c r="K35" i="19"/>
  <c r="O45" i="19"/>
  <c r="H45" i="19"/>
  <c r="N40" i="19"/>
  <c r="H40" i="19"/>
  <c r="E40" i="19"/>
  <c r="M35" i="19"/>
  <c r="E35" i="19"/>
  <c r="V40" i="19"/>
  <c r="M45" i="19"/>
  <c r="W40" i="19"/>
  <c r="J40" i="19"/>
  <c r="T45" i="19"/>
  <c r="W45" i="19"/>
  <c r="X45" i="19"/>
  <c r="T35" i="19"/>
  <c r="Q45" i="19"/>
  <c r="Q40" i="19"/>
  <c r="I40" i="19"/>
  <c r="Q35" i="19"/>
  <c r="AB45" i="19"/>
  <c r="I35" i="19"/>
  <c r="P35" i="19"/>
  <c r="AB40" i="19"/>
  <c r="I45" i="19"/>
  <c r="L35" i="19"/>
  <c r="P40" i="19"/>
  <c r="E45" i="19"/>
  <c r="P45" i="19"/>
  <c r="N44" i="21"/>
  <c r="M44" i="21"/>
  <c r="Y44" i="21"/>
  <c r="I44" i="21"/>
  <c r="R44" i="21"/>
  <c r="AA44" i="21"/>
  <c r="G44" i="21"/>
  <c r="Z44" i="21"/>
  <c r="F44" i="21"/>
  <c r="AC44" i="21"/>
  <c r="X44" i="21"/>
  <c r="K44" i="21"/>
  <c r="H44" i="21"/>
  <c r="O44" i="21"/>
  <c r="J44" i="21"/>
  <c r="T44" i="21"/>
  <c r="W44" i="21"/>
  <c r="S44" i="21"/>
  <c r="P44" i="21"/>
  <c r="V44" i="21"/>
  <c r="Q44" i="21"/>
  <c r="U44" i="21"/>
  <c r="AB44" i="21"/>
  <c r="M41" i="21"/>
  <c r="E41" i="21"/>
  <c r="E53" i="21" s="1"/>
  <c r="L41" i="21"/>
  <c r="J41" i="21"/>
  <c r="M15" i="9"/>
  <c r="H15" i="9"/>
  <c r="P15" i="9"/>
  <c r="O15" i="9"/>
  <c r="X41" i="21"/>
  <c r="E52" i="10"/>
  <c r="N41" i="21"/>
  <c r="R41" i="21"/>
  <c r="T41" i="21"/>
  <c r="H41" i="21"/>
  <c r="W41" i="21"/>
  <c r="G41" i="21"/>
  <c r="G53" i="21" s="1"/>
  <c r="F41" i="21"/>
  <c r="F53" i="21" s="1"/>
  <c r="V41" i="21"/>
  <c r="AB41" i="21"/>
  <c r="Y41" i="21"/>
  <c r="S41" i="21"/>
  <c r="AC41" i="21"/>
  <c r="AA41" i="21"/>
  <c r="U41" i="21"/>
  <c r="Z41" i="21"/>
  <c r="I41" i="21"/>
  <c r="O41" i="21"/>
  <c r="Q41" i="21"/>
  <c r="P41" i="21"/>
  <c r="K41" i="21"/>
  <c r="L44" i="21" l="1"/>
  <c r="D44" i="21" s="1"/>
  <c r="E23" i="1" s="1"/>
  <c r="D52" i="10"/>
  <c r="D41" i="21"/>
  <c r="T42" i="21"/>
  <c r="H42" i="21"/>
  <c r="K42" i="21"/>
  <c r="N42" i="21"/>
  <c r="X42" i="21"/>
  <c r="L42" i="21"/>
  <c r="U42" i="21"/>
  <c r="Q42" i="21"/>
  <c r="I42" i="21"/>
  <c r="S42" i="21"/>
  <c r="Z42" i="21"/>
  <c r="E42" i="21"/>
  <c r="E54" i="21" s="1"/>
  <c r="M42" i="21"/>
  <c r="Y42" i="21"/>
  <c r="J42" i="21"/>
  <c r="AA42" i="21"/>
  <c r="AC42" i="21"/>
  <c r="AB42" i="21"/>
  <c r="P42" i="21"/>
  <c r="V42" i="21"/>
  <c r="F42" i="21"/>
  <c r="F54" i="21" s="1"/>
  <c r="R42" i="21"/>
  <c r="O42" i="21"/>
  <c r="G42" i="21"/>
  <c r="G54" i="21" s="1"/>
  <c r="W42" i="21"/>
  <c r="AA48" i="21"/>
  <c r="D54" i="10" l="1"/>
  <c r="D55" i="10" s="1"/>
  <c r="D42" i="21"/>
  <c r="E22" i="1" s="1"/>
  <c r="AA50" i="21"/>
  <c r="AA53" i="21" s="1"/>
  <c r="AA49" i="21"/>
  <c r="AA51" i="21" l="1"/>
  <c r="AA54" i="21" s="1"/>
  <c r="E59" i="21" l="1"/>
  <c r="H59" i="21"/>
  <c r="E61" i="21" l="1"/>
  <c r="E62" i="21" s="1"/>
  <c r="H61" i="21"/>
  <c r="H62" i="21" s="1"/>
  <c r="D58" i="21" l="1"/>
  <c r="I59" i="21"/>
  <c r="D59" i="21" s="1"/>
  <c r="D18" i="2"/>
  <c r="K5" i="23" s="1"/>
  <c r="K7" i="23" s="1"/>
  <c r="K8" i="23" s="1"/>
  <c r="I61" i="21"/>
  <c r="I62" i="21" s="1"/>
  <c r="AP26" i="21" l="1"/>
  <c r="AP27" i="21" s="1"/>
  <c r="D61" i="21"/>
  <c r="D62" i="21"/>
  <c r="E6" i="1"/>
  <c r="E7" i="1" l="1"/>
  <c r="D26" i="21"/>
  <c r="D5" i="21"/>
  <c r="D27" i="21" l="1"/>
  <c r="E16" i="1" s="1"/>
  <c r="K27" i="19"/>
  <c r="K68" i="10" s="1"/>
  <c r="K28" i="19"/>
  <c r="K69" i="10" s="1"/>
  <c r="K70" i="10" l="1"/>
  <c r="H50" i="21" s="1"/>
  <c r="K29" i="19"/>
  <c r="H51" i="21" l="1"/>
  <c r="L28" i="19" l="1"/>
  <c r="L69" i="10" s="1"/>
  <c r="L27" i="19"/>
  <c r="L68" i="10" l="1"/>
  <c r="L70" i="10" s="1"/>
  <c r="I50" i="21" s="1"/>
  <c r="I51" i="21" s="1"/>
  <c r="L29" i="19"/>
  <c r="X28" i="19" l="1"/>
  <c r="X69" i="10" s="1"/>
  <c r="V28" i="19"/>
  <c r="V69" i="10" s="1"/>
  <c r="T18" i="19"/>
  <c r="T59" i="10" s="1"/>
  <c r="AC28" i="19"/>
  <c r="AC69" i="10" s="1"/>
  <c r="M28" i="19"/>
  <c r="M69" i="10" s="1"/>
  <c r="P28" i="19"/>
  <c r="P69" i="10" s="1"/>
  <c r="R28" i="19"/>
  <c r="R69" i="10" s="1"/>
  <c r="U28" i="19"/>
  <c r="U69" i="10" s="1"/>
  <c r="W27" i="19"/>
  <c r="W68" i="10" s="1"/>
  <c r="R27" i="19"/>
  <c r="R68" i="10" s="1"/>
  <c r="P27" i="19"/>
  <c r="P68" i="10" s="1"/>
  <c r="T28" i="19"/>
  <c r="T69" i="10" s="1"/>
  <c r="Z28" i="19"/>
  <c r="Z69" i="10" s="1"/>
  <c r="Q28" i="19"/>
  <c r="Q69" i="10" s="1"/>
  <c r="AA28" i="19"/>
  <c r="AA69" i="10" s="1"/>
  <c r="T27" i="19"/>
  <c r="T68" i="10" s="1"/>
  <c r="M27" i="19"/>
  <c r="M68" i="10" s="1"/>
  <c r="AB27" i="19"/>
  <c r="AB68" i="10" s="1"/>
  <c r="W28" i="19"/>
  <c r="W69" i="10" s="1"/>
  <c r="T17" i="19"/>
  <c r="T58" i="10" s="1"/>
  <c r="T22" i="19"/>
  <c r="T63" i="10" s="1"/>
  <c r="N28" i="19"/>
  <c r="N69" i="10" s="1"/>
  <c r="U27" i="19"/>
  <c r="U68" i="10" s="1"/>
  <c r="Y28" i="19"/>
  <c r="Y69" i="10" s="1"/>
  <c r="O27" i="19"/>
  <c r="O68" i="10" s="1"/>
  <c r="T23" i="19"/>
  <c r="T64" i="10" s="1"/>
  <c r="Y27" i="19"/>
  <c r="Y68" i="10" s="1"/>
  <c r="V27" i="19"/>
  <c r="V68" i="10" s="1"/>
  <c r="N27" i="19"/>
  <c r="N68" i="10" s="1"/>
  <c r="AB28" i="19"/>
  <c r="AB69" i="10" s="1"/>
  <c r="O28" i="19"/>
  <c r="O69" i="10" s="1"/>
  <c r="Q27" i="19"/>
  <c r="Q68" i="10" s="1"/>
  <c r="AC27" i="19"/>
  <c r="AC68" i="10" s="1"/>
  <c r="Z27" i="19"/>
  <c r="Z68" i="10" s="1"/>
  <c r="S27" i="19"/>
  <c r="S68" i="10" s="1"/>
  <c r="X27" i="19"/>
  <c r="X68" i="10" s="1"/>
  <c r="S28" i="19"/>
  <c r="S69" i="10" s="1"/>
  <c r="AA27" i="19"/>
  <c r="AA68" i="10" s="1"/>
  <c r="AB70" i="10" l="1"/>
  <c r="Y50" i="21" s="1"/>
  <c r="Y51" i="21" s="1"/>
  <c r="U70" i="10"/>
  <c r="R50" i="21" s="1"/>
  <c r="R51" i="21" s="1"/>
  <c r="Z70" i="10"/>
  <c r="W50" i="21" s="1"/>
  <c r="W51" i="21" s="1"/>
  <c r="M70" i="10"/>
  <c r="J50" i="21" s="1"/>
  <c r="J51" i="21" s="1"/>
  <c r="AC70" i="10"/>
  <c r="Z50" i="21" s="1"/>
  <c r="Z51" i="21" s="1"/>
  <c r="V70" i="10"/>
  <c r="S50" i="21" s="1"/>
  <c r="S51" i="21" s="1"/>
  <c r="X70" i="10"/>
  <c r="U50" i="21" s="1"/>
  <c r="U51" i="21" s="1"/>
  <c r="W70" i="10"/>
  <c r="T50" i="21" s="1"/>
  <c r="T51" i="21" s="1"/>
  <c r="Y70" i="10"/>
  <c r="V50" i="21" s="1"/>
  <c r="V51" i="21" s="1"/>
  <c r="AA70" i="10"/>
  <c r="X50" i="21" s="1"/>
  <c r="X51" i="21" s="1"/>
  <c r="P70" i="10"/>
  <c r="M50" i="21" s="1"/>
  <c r="M51" i="21" s="1"/>
  <c r="Q70" i="10"/>
  <c r="N50" i="21" s="1"/>
  <c r="N51" i="21" s="1"/>
  <c r="N70" i="10"/>
  <c r="K50" i="21" s="1"/>
  <c r="K51" i="21" s="1"/>
  <c r="S70" i="10"/>
  <c r="P50" i="21" s="1"/>
  <c r="P51" i="21" s="1"/>
  <c r="R70" i="10"/>
  <c r="O50" i="21" s="1"/>
  <c r="O51" i="21" s="1"/>
  <c r="O70" i="10"/>
  <c r="L50" i="21" s="1"/>
  <c r="L51" i="21" s="1"/>
  <c r="T70" i="10"/>
  <c r="Q50" i="21" s="1"/>
  <c r="Q51" i="21" s="1"/>
  <c r="T65" i="10"/>
  <c r="Q48" i="21" s="1"/>
  <c r="Q29" i="19"/>
  <c r="Z29" i="19"/>
  <c r="O29" i="19"/>
  <c r="M29" i="19"/>
  <c r="R29" i="19"/>
  <c r="N29" i="19"/>
  <c r="V29" i="19"/>
  <c r="AA29" i="19"/>
  <c r="W29" i="19"/>
  <c r="U29" i="19"/>
  <c r="T29" i="19"/>
  <c r="Y29" i="19"/>
  <c r="P29" i="19"/>
  <c r="S29" i="19"/>
  <c r="T19" i="19"/>
  <c r="T60" i="10"/>
  <c r="Q46" i="21" s="1"/>
  <c r="AB29" i="19"/>
  <c r="T24" i="19"/>
  <c r="AC29" i="19"/>
  <c r="X29" i="19"/>
  <c r="Q53" i="21" l="1"/>
  <c r="Q49" i="21"/>
  <c r="Q47" i="21"/>
  <c r="AE27" i="19"/>
  <c r="AE68" i="10" s="1"/>
  <c r="AE28" i="19"/>
  <c r="AE69" i="10" s="1"/>
  <c r="Q54" i="21" l="1"/>
  <c r="AE70" i="10"/>
  <c r="AB50" i="21" s="1"/>
  <c r="AB51" i="21" s="1"/>
  <c r="AE29" i="19"/>
  <c r="AQ28" i="19" l="1"/>
  <c r="AQ69" i="10" s="1"/>
  <c r="AL28" i="19"/>
  <c r="AL69" i="10" s="1"/>
  <c r="AM28" i="19"/>
  <c r="AM69" i="10" s="1"/>
  <c r="AH28" i="19"/>
  <c r="AH69" i="10" s="1"/>
  <c r="AR28" i="19"/>
  <c r="AR69" i="10" s="1"/>
  <c r="AS28" i="19"/>
  <c r="AS69" i="10" s="1"/>
  <c r="AS27" i="19"/>
  <c r="AF28" i="19"/>
  <c r="AF69" i="10" s="1"/>
  <c r="AN23" i="19"/>
  <c r="AN64" i="10" s="1"/>
  <c r="AI27" i="19"/>
  <c r="AI68" i="10" s="1"/>
  <c r="AI28" i="19"/>
  <c r="AI69" i="10" s="1"/>
  <c r="AN17" i="19"/>
  <c r="AN58" i="10" s="1"/>
  <c r="AN28" i="19"/>
  <c r="AN69" i="10" s="1"/>
  <c r="AG28" i="19"/>
  <c r="AG69" i="10" s="1"/>
  <c r="AN18" i="19"/>
  <c r="AN59" i="10" s="1"/>
  <c r="AO28" i="19"/>
  <c r="AO69" i="10" s="1"/>
  <c r="AR27" i="19"/>
  <c r="AR68" i="10" s="1"/>
  <c r="AP28" i="19"/>
  <c r="AP69" i="10" s="1"/>
  <c r="AJ28" i="19"/>
  <c r="AJ69" i="10" s="1"/>
  <c r="AO27" i="19"/>
  <c r="AO68" i="10" s="1"/>
  <c r="AQ27" i="19"/>
  <c r="AQ68" i="10" s="1"/>
  <c r="AM27" i="19"/>
  <c r="AM68" i="10" s="1"/>
  <c r="AL27" i="19"/>
  <c r="AL68" i="10" s="1"/>
  <c r="AK28" i="19"/>
  <c r="AK69" i="10" s="1"/>
  <c r="AJ27" i="19"/>
  <c r="AF27" i="19"/>
  <c r="AF68" i="10" s="1"/>
  <c r="AH27" i="19"/>
  <c r="AH68" i="10" s="1"/>
  <c r="AG27" i="19"/>
  <c r="AG68" i="10" s="1"/>
  <c r="AN27" i="19"/>
  <c r="AN68" i="10" s="1"/>
  <c r="AP27" i="19"/>
  <c r="AP68" i="10" s="1"/>
  <c r="AN22" i="19"/>
  <c r="AN63" i="10" s="1"/>
  <c r="AK27" i="19"/>
  <c r="AK68" i="10" s="1"/>
  <c r="AH70" i="10" l="1"/>
  <c r="AE50" i="21" s="1"/>
  <c r="AE51" i="21" s="1"/>
  <c r="AO70" i="10"/>
  <c r="AL50" i="21" s="1"/>
  <c r="AL51" i="21" s="1"/>
  <c r="AP70" i="10"/>
  <c r="AM50" i="21" s="1"/>
  <c r="AM51" i="21" s="1"/>
  <c r="AN70" i="10"/>
  <c r="AK50" i="21" s="1"/>
  <c r="AK51" i="21" s="1"/>
  <c r="AF70" i="10"/>
  <c r="AC50" i="21" s="1"/>
  <c r="AC51" i="21" s="1"/>
  <c r="AK70" i="10"/>
  <c r="AH50" i="21" s="1"/>
  <c r="AH51" i="21" s="1"/>
  <c r="AQ70" i="10"/>
  <c r="AN50" i="21" s="1"/>
  <c r="AN51" i="21" s="1"/>
  <c r="AS68" i="10"/>
  <c r="AS70" i="10" s="1"/>
  <c r="AP50" i="21" s="1"/>
  <c r="AP51" i="21" s="1"/>
  <c r="AR70" i="10"/>
  <c r="AO50" i="21" s="1"/>
  <c r="AO51" i="21" s="1"/>
  <c r="AM70" i="10"/>
  <c r="AJ50" i="21" s="1"/>
  <c r="AJ51" i="21" s="1"/>
  <c r="AL70" i="10"/>
  <c r="AI50" i="21" s="1"/>
  <c r="AI51" i="21" s="1"/>
  <c r="AJ29" i="19"/>
  <c r="AJ68" i="10"/>
  <c r="AJ70" i="10" s="1"/>
  <c r="AG50" i="21" s="1"/>
  <c r="AG51" i="21" s="1"/>
  <c r="AI70" i="10"/>
  <c r="AF50" i="21" s="1"/>
  <c r="AF51" i="21" s="1"/>
  <c r="AG70" i="10"/>
  <c r="AD50" i="21" s="1"/>
  <c r="AD51" i="21" s="1"/>
  <c r="AN65" i="10"/>
  <c r="AK48" i="21" s="1"/>
  <c r="AN29" i="19"/>
  <c r="AQ29" i="19"/>
  <c r="AK29" i="19"/>
  <c r="AN24" i="19"/>
  <c r="AI29" i="19"/>
  <c r="AG29" i="19"/>
  <c r="AM29" i="19"/>
  <c r="AF29" i="19"/>
  <c r="AS29" i="19"/>
  <c r="AP29" i="19"/>
  <c r="AO29" i="19"/>
  <c r="AN19" i="19"/>
  <c r="AR29" i="19"/>
  <c r="AN60" i="10"/>
  <c r="AK46" i="21" s="1"/>
  <c r="AL29" i="19"/>
  <c r="AH29" i="19"/>
  <c r="AK53" i="21" l="1"/>
  <c r="AK49" i="21"/>
  <c r="AK47" i="21"/>
  <c r="J23" i="19"/>
  <c r="J64" i="10" s="1"/>
  <c r="J22" i="19"/>
  <c r="J63" i="10" s="1"/>
  <c r="J28" i="19"/>
  <c r="J69" i="10" s="1"/>
  <c r="J27" i="19"/>
  <c r="J68" i="10" s="1"/>
  <c r="J18" i="19"/>
  <c r="J59" i="10" s="1"/>
  <c r="J17" i="19"/>
  <c r="AK54" i="21" l="1"/>
  <c r="J65" i="10"/>
  <c r="J70" i="10"/>
  <c r="J58" i="10"/>
  <c r="J60" i="10" s="1"/>
  <c r="J24" i="19"/>
  <c r="J19" i="19"/>
  <c r="J29" i="19"/>
  <c r="E28" i="19"/>
  <c r="E69" i="10" s="1"/>
  <c r="G27" i="19"/>
  <c r="G68" i="10" s="1"/>
  <c r="I28" i="19"/>
  <c r="I69" i="10" s="1"/>
  <c r="I27" i="19"/>
  <c r="I68" i="10" s="1"/>
  <c r="G28" i="19"/>
  <c r="G69" i="10" s="1"/>
  <c r="H27" i="19"/>
  <c r="H68" i="10" s="1"/>
  <c r="H28" i="19"/>
  <c r="H69" i="10" s="1"/>
  <c r="F28" i="19"/>
  <c r="F69" i="10" s="1"/>
  <c r="F27" i="19"/>
  <c r="F68" i="10" s="1"/>
  <c r="E27" i="19"/>
  <c r="E68" i="10" s="1"/>
  <c r="D69" i="10" l="1"/>
  <c r="D68" i="10"/>
  <c r="I70" i="10"/>
  <c r="H70" i="10"/>
  <c r="F70" i="10"/>
  <c r="G70" i="10"/>
  <c r="G29" i="19"/>
  <c r="I29" i="19"/>
  <c r="F29" i="19"/>
  <c r="H29" i="19"/>
  <c r="E70" i="10"/>
  <c r="E29" i="19"/>
  <c r="D70" i="10" l="1"/>
  <c r="D51" i="21"/>
  <c r="D50" i="21"/>
  <c r="E18" i="19"/>
  <c r="E59" i="10" s="1"/>
  <c r="E17" i="19"/>
  <c r="E19" i="19" l="1"/>
  <c r="E58" i="10"/>
  <c r="E60" i="10" l="1"/>
  <c r="E23" i="19"/>
  <c r="E64" i="10" s="1"/>
  <c r="E22" i="19"/>
  <c r="E63" i="10" s="1"/>
  <c r="E65" i="10" l="1"/>
  <c r="E24" i="19"/>
  <c r="F23" i="19"/>
  <c r="F64" i="10" s="1"/>
  <c r="H23" i="19"/>
  <c r="H64" i="10" s="1"/>
  <c r="G17" i="19"/>
  <c r="G58" i="10" s="1"/>
  <c r="I22" i="19"/>
  <c r="G18" i="19"/>
  <c r="I17" i="19"/>
  <c r="F18" i="19"/>
  <c r="F59" i="10" s="1"/>
  <c r="H22" i="19"/>
  <c r="I23" i="19"/>
  <c r="I64" i="10" s="1"/>
  <c r="H17" i="19"/>
  <c r="G23" i="19"/>
  <c r="G64" i="10" s="1"/>
  <c r="F22" i="19"/>
  <c r="G22" i="19"/>
  <c r="G63" i="10" s="1"/>
  <c r="F17" i="19"/>
  <c r="F58" i="10" s="1"/>
  <c r="H18" i="19"/>
  <c r="H59" i="10" s="1"/>
  <c r="I18" i="19"/>
  <c r="I59" i="10" s="1"/>
  <c r="H19" i="19" l="1"/>
  <c r="I19" i="19"/>
  <c r="F24" i="19"/>
  <c r="H24" i="19"/>
  <c r="G24" i="19"/>
  <c r="I24" i="19"/>
  <c r="H58" i="10"/>
  <c r="H60" i="10" s="1"/>
  <c r="G19" i="19"/>
  <c r="F19" i="19"/>
  <c r="F60" i="10"/>
  <c r="G65" i="10"/>
  <c r="F63" i="10"/>
  <c r="H63" i="10"/>
  <c r="H65" i="10" s="1"/>
  <c r="G59" i="10"/>
  <c r="G60" i="10" s="1"/>
  <c r="I63" i="10"/>
  <c r="I65" i="10" s="1"/>
  <c r="I58" i="10"/>
  <c r="I60" i="10" s="1"/>
  <c r="F65" i="10" l="1"/>
  <c r="K18" i="19"/>
  <c r="K59" i="10" s="1"/>
  <c r="K23" i="19"/>
  <c r="K64" i="10" s="1"/>
  <c r="K22" i="19"/>
  <c r="K17" i="19"/>
  <c r="K19" i="19" l="1"/>
  <c r="K24" i="19"/>
  <c r="K63" i="10"/>
  <c r="K65" i="10" s="1"/>
  <c r="K58" i="10"/>
  <c r="K60" i="10" s="1"/>
  <c r="H46" i="21" l="1"/>
  <c r="H48" i="21"/>
  <c r="H53" i="21" l="1"/>
  <c r="H47" i="21"/>
  <c r="H49" i="21"/>
  <c r="H54" i="21" l="1"/>
  <c r="L18" i="19"/>
  <c r="L59" i="10" s="1"/>
  <c r="L23" i="19"/>
  <c r="L64" i="10" s="1"/>
  <c r="M23" i="19"/>
  <c r="M64" i="10" s="1"/>
  <c r="O22" i="19"/>
  <c r="O63" i="10" s="1"/>
  <c r="Q18" i="19"/>
  <c r="Q59" i="10" s="1"/>
  <c r="P23" i="19"/>
  <c r="P64" i="10" s="1"/>
  <c r="R23" i="19"/>
  <c r="R64" i="10" s="1"/>
  <c r="N18" i="19"/>
  <c r="N59" i="10" s="1"/>
  <c r="O18" i="19"/>
  <c r="O59" i="10" s="1"/>
  <c r="Q23" i="19"/>
  <c r="Q64" i="10" s="1"/>
  <c r="Q17" i="19"/>
  <c r="N17" i="19"/>
  <c r="N58" i="10" s="1"/>
  <c r="O23" i="19"/>
  <c r="O64" i="10" s="1"/>
  <c r="N22" i="19"/>
  <c r="R18" i="19"/>
  <c r="R59" i="10" s="1"/>
  <c r="N23" i="19"/>
  <c r="N64" i="10" s="1"/>
  <c r="Q22" i="19"/>
  <c r="Q63" i="10" s="1"/>
  <c r="P18" i="19"/>
  <c r="P59" i="10" s="1"/>
  <c r="P22" i="19"/>
  <c r="P63" i="10" s="1"/>
  <c r="R17" i="19"/>
  <c r="M22" i="19"/>
  <c r="M63" i="10" s="1"/>
  <c r="R22" i="19"/>
  <c r="R63" i="10" s="1"/>
  <c r="L17" i="19"/>
  <c r="L58" i="10" s="1"/>
  <c r="O17" i="19"/>
  <c r="O58" i="10" s="1"/>
  <c r="M18" i="19"/>
  <c r="M59" i="10" s="1"/>
  <c r="M17" i="19"/>
  <c r="M58" i="10" s="1"/>
  <c r="L22" i="19"/>
  <c r="L63" i="10" s="1"/>
  <c r="P17" i="19"/>
  <c r="P58" i="10" s="1"/>
  <c r="Q19" i="19" l="1"/>
  <c r="M24" i="19"/>
  <c r="N60" i="10"/>
  <c r="K46" i="21" s="1"/>
  <c r="M60" i="10"/>
  <c r="J46" i="21" s="1"/>
  <c r="N24" i="19"/>
  <c r="L24" i="19"/>
  <c r="M65" i="10"/>
  <c r="J48" i="21" s="1"/>
  <c r="R24" i="19"/>
  <c r="P65" i="10"/>
  <c r="M48" i="21" s="1"/>
  <c r="P19" i="19"/>
  <c r="R19" i="19"/>
  <c r="M19" i="19"/>
  <c r="O24" i="19"/>
  <c r="Q24" i="19"/>
  <c r="P60" i="10"/>
  <c r="M46" i="21" s="1"/>
  <c r="Q58" i="10"/>
  <c r="Q60" i="10" s="1"/>
  <c r="N46" i="21" s="1"/>
  <c r="O19" i="19"/>
  <c r="R58" i="10"/>
  <c r="R60" i="10" s="1"/>
  <c r="O46" i="21" s="1"/>
  <c r="L65" i="10"/>
  <c r="O60" i="10"/>
  <c r="L46" i="21" s="1"/>
  <c r="Q65" i="10"/>
  <c r="N48" i="21" s="1"/>
  <c r="O65" i="10"/>
  <c r="L48" i="21" s="1"/>
  <c r="L60" i="10"/>
  <c r="R65" i="10"/>
  <c r="O48" i="21" s="1"/>
  <c r="N63" i="10"/>
  <c r="N65" i="10" s="1"/>
  <c r="K48" i="21" s="1"/>
  <c r="N19" i="19"/>
  <c r="P24" i="19"/>
  <c r="L19" i="19"/>
  <c r="M53" i="21" l="1"/>
  <c r="J53" i="21"/>
  <c r="N53" i="21"/>
  <c r="K53" i="21"/>
  <c r="L53" i="21"/>
  <c r="O53" i="21"/>
  <c r="O49" i="21"/>
  <c r="K49" i="21"/>
  <c r="L49" i="21"/>
  <c r="M49" i="21"/>
  <c r="N49" i="21"/>
  <c r="N47" i="21"/>
  <c r="K47" i="21"/>
  <c r="M47" i="21"/>
  <c r="J47" i="21"/>
  <c r="O47" i="21"/>
  <c r="J49" i="21"/>
  <c r="L47" i="21"/>
  <c r="I48" i="21"/>
  <c r="I46" i="21"/>
  <c r="N54" i="21" l="1"/>
  <c r="M54" i="21"/>
  <c r="O54" i="21"/>
  <c r="K54" i="21"/>
  <c r="L54" i="21"/>
  <c r="J54" i="21"/>
  <c r="I53" i="21"/>
  <c r="I49" i="21"/>
  <c r="I47" i="21"/>
  <c r="I54" i="21" l="1"/>
  <c r="S18" i="19"/>
  <c r="S59" i="10" s="1"/>
  <c r="S23" i="19"/>
  <c r="S64" i="10" s="1"/>
  <c r="S22" i="19"/>
  <c r="S63" i="10" s="1"/>
  <c r="S17" i="19"/>
  <c r="S19" i="19" l="1"/>
  <c r="S65" i="10"/>
  <c r="S58" i="10"/>
  <c r="S24" i="19"/>
  <c r="S60" i="10" l="1"/>
  <c r="P48" i="21"/>
  <c r="P46" i="21" l="1"/>
  <c r="P53" i="21" s="1"/>
  <c r="P49" i="21"/>
  <c r="P47" i="21" l="1"/>
  <c r="P54" i="21" s="1"/>
  <c r="U23" i="19" l="1"/>
  <c r="U64" i="10" s="1"/>
  <c r="U17" i="19"/>
  <c r="U58" i="10" s="1"/>
  <c r="U18" i="19"/>
  <c r="U59" i="10" s="1"/>
  <c r="U22" i="19"/>
  <c r="U24" i="19" l="1"/>
  <c r="U63" i="10"/>
  <c r="U65" i="10" s="1"/>
  <c r="R48" i="21" s="1"/>
  <c r="U19" i="19"/>
  <c r="U60" i="10"/>
  <c r="R46" i="21" l="1"/>
  <c r="R53" i="21" s="1"/>
  <c r="R49" i="21"/>
  <c r="R47" i="21" l="1"/>
  <c r="R54" i="21" s="1"/>
  <c r="AC18" i="19" l="1"/>
  <c r="AC59" i="10" s="1"/>
  <c r="V18" i="19"/>
  <c r="V59" i="10" s="1"/>
  <c r="AB18" i="19"/>
  <c r="AB59" i="10" s="1"/>
  <c r="Z18" i="19"/>
  <c r="Z59" i="10" s="1"/>
  <c r="AA18" i="19"/>
  <c r="AA59" i="10" s="1"/>
  <c r="AB17" i="19"/>
  <c r="AA17" i="19"/>
  <c r="X18" i="19"/>
  <c r="X59" i="10" s="1"/>
  <c r="W17" i="19"/>
  <c r="W58" i="10" s="1"/>
  <c r="V17" i="19"/>
  <c r="V58" i="10" s="1"/>
  <c r="AC17" i="19"/>
  <c r="Z17" i="19"/>
  <c r="Z58" i="10" s="1"/>
  <c r="X17" i="19"/>
  <c r="X58" i="10" s="1"/>
  <c r="Y17" i="19"/>
  <c r="Y58" i="10" s="1"/>
  <c r="Y18" i="19"/>
  <c r="Y59" i="10" s="1"/>
  <c r="W18" i="19"/>
  <c r="W59" i="10" s="1"/>
  <c r="AC19" i="19" l="1"/>
  <c r="AB19" i="19"/>
  <c r="AA19" i="19"/>
  <c r="Y19" i="19"/>
  <c r="AC58" i="10"/>
  <c r="AC60" i="10" s="1"/>
  <c r="Z46" i="21" s="1"/>
  <c r="W60" i="10"/>
  <c r="T46" i="21" s="1"/>
  <c r="AA58" i="10"/>
  <c r="AA60" i="10" s="1"/>
  <c r="X46" i="21" s="1"/>
  <c r="Z19" i="19"/>
  <c r="AB58" i="10"/>
  <c r="AB60" i="10" s="1"/>
  <c r="Y46" i="21" s="1"/>
  <c r="Y60" i="10"/>
  <c r="V46" i="21" s="1"/>
  <c r="W19" i="19"/>
  <c r="X60" i="10"/>
  <c r="U46" i="21" s="1"/>
  <c r="V19" i="19"/>
  <c r="Z60" i="10"/>
  <c r="W46" i="21" s="1"/>
  <c r="V60" i="10"/>
  <c r="X19" i="19"/>
  <c r="U47" i="21" l="1"/>
  <c r="T47" i="21"/>
  <c r="V47" i="21"/>
  <c r="Y47" i="21"/>
  <c r="X47" i="21"/>
  <c r="Z47" i="21"/>
  <c r="W47" i="21"/>
  <c r="S46" i="21"/>
  <c r="S47" i="21" l="1"/>
  <c r="Y23" i="19"/>
  <c r="Y64" i="10" s="1"/>
  <c r="X22" i="19"/>
  <c r="AC22" i="19"/>
  <c r="AC63" i="10" s="1"/>
  <c r="Z23" i="19"/>
  <c r="Z64" i="10" s="1"/>
  <c r="X23" i="19"/>
  <c r="X64" i="10" s="1"/>
  <c r="AC23" i="19"/>
  <c r="AB22" i="19"/>
  <c r="AA22" i="19"/>
  <c r="AA63" i="10" s="1"/>
  <c r="AA23" i="19"/>
  <c r="W23" i="19"/>
  <c r="V23" i="19"/>
  <c r="Z22" i="19"/>
  <c r="Z63" i="10" s="1"/>
  <c r="W22" i="19"/>
  <c r="W63" i="10" s="1"/>
  <c r="AB23" i="19"/>
  <c r="AB64" i="10" s="1"/>
  <c r="Y22" i="19"/>
  <c r="V22" i="19"/>
  <c r="V63" i="10" s="1"/>
  <c r="V24" i="19" l="1"/>
  <c r="AC24" i="19"/>
  <c r="AA24" i="19"/>
  <c r="W24" i="19"/>
  <c r="AB24" i="19"/>
  <c r="Y24" i="19"/>
  <c r="AA64" i="10"/>
  <c r="AA65" i="10" s="1"/>
  <c r="X48" i="21" s="1"/>
  <c r="X53" i="21" s="1"/>
  <c r="Y63" i="10"/>
  <c r="Y65" i="10" s="1"/>
  <c r="V48" i="21" s="1"/>
  <c r="V53" i="21" s="1"/>
  <c r="X24" i="19"/>
  <c r="W64" i="10"/>
  <c r="W65" i="10" s="1"/>
  <c r="T48" i="21" s="1"/>
  <c r="T53" i="21" s="1"/>
  <c r="X63" i="10"/>
  <c r="X65" i="10" s="1"/>
  <c r="U48" i="21" s="1"/>
  <c r="U53" i="21" s="1"/>
  <c r="Z24" i="19"/>
  <c r="V64" i="10"/>
  <c r="V65" i="10" s="1"/>
  <c r="Z65" i="10"/>
  <c r="W48" i="21" s="1"/>
  <c r="W53" i="21" s="1"/>
  <c r="AB63" i="10"/>
  <c r="AB65" i="10" s="1"/>
  <c r="Y48" i="21" s="1"/>
  <c r="Y53" i="21" s="1"/>
  <c r="AC64" i="10"/>
  <c r="AC65" i="10" s="1"/>
  <c r="Z48" i="21" s="1"/>
  <c r="Z53" i="21" s="1"/>
  <c r="X49" i="21" l="1"/>
  <c r="X54" i="21" s="1"/>
  <c r="V49" i="21"/>
  <c r="V54" i="21" s="1"/>
  <c r="T49" i="21"/>
  <c r="T54" i="21" s="1"/>
  <c r="Z49" i="21"/>
  <c r="Z54" i="21" s="1"/>
  <c r="U49" i="21"/>
  <c r="U54" i="21" s="1"/>
  <c r="W49" i="21"/>
  <c r="W54" i="21" s="1"/>
  <c r="Y49" i="21"/>
  <c r="Y54" i="21" s="1"/>
  <c r="S48" i="21"/>
  <c r="S53" i="21" s="1"/>
  <c r="S49" i="21" l="1"/>
  <c r="S54" i="21" s="1"/>
  <c r="AE18" i="19" l="1"/>
  <c r="AE59" i="10" s="1"/>
  <c r="AE22" i="19"/>
  <c r="AE23" i="19"/>
  <c r="AE64" i="10" s="1"/>
  <c r="AE17" i="19"/>
  <c r="AE58" i="10" s="1"/>
  <c r="AE24" i="19" l="1"/>
  <c r="AE60" i="10"/>
  <c r="AE19" i="19"/>
  <c r="AE63" i="10"/>
  <c r="AB46" i="21" l="1"/>
  <c r="AE65" i="10"/>
  <c r="AB48" i="21" l="1"/>
  <c r="AB53" i="21" s="1"/>
  <c r="AB47" i="21"/>
  <c r="AB49" i="21" l="1"/>
  <c r="AB54" i="21" s="1"/>
  <c r="AK23" i="19" l="1"/>
  <c r="AK64" i="10" s="1"/>
  <c r="AG18" i="19"/>
  <c r="AG59" i="10" s="1"/>
  <c r="AM23" i="19"/>
  <c r="AM64" i="10" s="1"/>
  <c r="AM18" i="19"/>
  <c r="AM59" i="10" s="1"/>
  <c r="AH23" i="19"/>
  <c r="AI18" i="19"/>
  <c r="AI59" i="10" s="1"/>
  <c r="AJ23" i="19"/>
  <c r="AJ64" i="10" s="1"/>
  <c r="AH22" i="19"/>
  <c r="AH63" i="10" s="1"/>
  <c r="AJ18" i="19"/>
  <c r="AJ59" i="10" s="1"/>
  <c r="AK22" i="19"/>
  <c r="AK63" i="10" s="1"/>
  <c r="AH18" i="19"/>
  <c r="AL23" i="19"/>
  <c r="AL64" i="10" s="1"/>
  <c r="AM17" i="19"/>
  <c r="AM58" i="10" s="1"/>
  <c r="AK17" i="19"/>
  <c r="AG17" i="19"/>
  <c r="AG58" i="10" s="1"/>
  <c r="AH17" i="19"/>
  <c r="AH58" i="10" s="1"/>
  <c r="AL18" i="19"/>
  <c r="AL59" i="10" s="1"/>
  <c r="AL17" i="19"/>
  <c r="AL58" i="10" s="1"/>
  <c r="AJ22" i="19"/>
  <c r="AJ63" i="10" s="1"/>
  <c r="AJ17" i="19"/>
  <c r="AJ58" i="10" s="1"/>
  <c r="AK18" i="19"/>
  <c r="AK59" i="10" s="1"/>
  <c r="AI17" i="19"/>
  <c r="AI58" i="10" s="1"/>
  <c r="AM22" i="19"/>
  <c r="AL22" i="19"/>
  <c r="AL63" i="10" s="1"/>
  <c r="AF18" i="19"/>
  <c r="AF59" i="10" s="1"/>
  <c r="AF17" i="19"/>
  <c r="AF58" i="10" s="1"/>
  <c r="AF23" i="19"/>
  <c r="AF64" i="10" s="1"/>
  <c r="AI23" i="19"/>
  <c r="AI64" i="10" s="1"/>
  <c r="AI22" i="19"/>
  <c r="AI63" i="10" s="1"/>
  <c r="AF22" i="19"/>
  <c r="AF63" i="10" s="1"/>
  <c r="AG22" i="19"/>
  <c r="AG63" i="10" s="1"/>
  <c r="AG23" i="19"/>
  <c r="AK65" i="10" l="1"/>
  <c r="AH48" i="21" s="1"/>
  <c r="AM24" i="19"/>
  <c r="AL60" i="10"/>
  <c r="AI46" i="21" s="1"/>
  <c r="AG24" i="19"/>
  <c r="AK24" i="19"/>
  <c r="AI24" i="19"/>
  <c r="AG60" i="10"/>
  <c r="AD46" i="21" s="1"/>
  <c r="AI65" i="10"/>
  <c r="AF48" i="21" s="1"/>
  <c r="AJ65" i="10"/>
  <c r="AG48" i="21" s="1"/>
  <c r="AL65" i="10"/>
  <c r="AI48" i="21" s="1"/>
  <c r="AM63" i="10"/>
  <c r="AM65" i="10" s="1"/>
  <c r="AJ48" i="21" s="1"/>
  <c r="AH24" i="19"/>
  <c r="AI60" i="10"/>
  <c r="AF46" i="21" s="1"/>
  <c r="AK19" i="19"/>
  <c r="AK58" i="10"/>
  <c r="AK60" i="10" s="1"/>
  <c r="AH46" i="21" s="1"/>
  <c r="AM19" i="19"/>
  <c r="AJ60" i="10"/>
  <c r="AG46" i="21" s="1"/>
  <c r="AF60" i="10"/>
  <c r="AC46" i="21" s="1"/>
  <c r="AI19" i="19"/>
  <c r="AM60" i="10"/>
  <c r="AJ46" i="21" s="1"/>
  <c r="AF19" i="19"/>
  <c r="AL19" i="19"/>
  <c r="AG19" i="19"/>
  <c r="AJ19" i="19"/>
  <c r="AH19" i="19"/>
  <c r="AF65" i="10"/>
  <c r="AJ24" i="19"/>
  <c r="AH59" i="10"/>
  <c r="AH60" i="10" s="1"/>
  <c r="AH64" i="10"/>
  <c r="AH65" i="10" s="1"/>
  <c r="AE48" i="21" s="1"/>
  <c r="AL24" i="19"/>
  <c r="AG64" i="10"/>
  <c r="AG65" i="10" s="1"/>
  <c r="AD48" i="21" s="1"/>
  <c r="AF24" i="19"/>
  <c r="AH53" i="21" l="1"/>
  <c r="AF53" i="21"/>
  <c r="AD53" i="21"/>
  <c r="AJ53" i="21"/>
  <c r="AI53" i="21"/>
  <c r="AG53" i="21"/>
  <c r="AF49" i="21"/>
  <c r="AE49" i="21"/>
  <c r="AJ49" i="21"/>
  <c r="AI49" i="21"/>
  <c r="AG49" i="21"/>
  <c r="AH49" i="21"/>
  <c r="AI47" i="21"/>
  <c r="AF47" i="21"/>
  <c r="AD47" i="21"/>
  <c r="AJ47" i="21"/>
  <c r="AG47" i="21"/>
  <c r="AH47" i="21"/>
  <c r="AE46" i="21"/>
  <c r="AE53" i="21" s="1"/>
  <c r="AD49" i="21"/>
  <c r="AC47" i="21"/>
  <c r="AC48" i="21"/>
  <c r="AC53" i="21" s="1"/>
  <c r="AG54" i="21" l="1"/>
  <c r="AD54" i="21"/>
  <c r="AJ54" i="21"/>
  <c r="AF54" i="21"/>
  <c r="AI54" i="21"/>
  <c r="AH54" i="21"/>
  <c r="AC49" i="21"/>
  <c r="AC54" i="21" s="1"/>
  <c r="AE47" i="21"/>
  <c r="AE54" i="21" s="1"/>
  <c r="AO23" i="19"/>
  <c r="AO64" i="10" s="1"/>
  <c r="AO18" i="19"/>
  <c r="AO59" i="10" s="1"/>
  <c r="AO22" i="19"/>
  <c r="AO17" i="19"/>
  <c r="AO58" i="10" s="1"/>
  <c r="AO24" i="19" l="1"/>
  <c r="AO19" i="19"/>
  <c r="AO63" i="10"/>
  <c r="AO65" i="10" s="1"/>
  <c r="AO60" i="10"/>
  <c r="AL48" i="21" l="1"/>
  <c r="AL46" i="21"/>
  <c r="AL53" i="21" l="1"/>
  <c r="AL47" i="21"/>
  <c r="AL49" i="21"/>
  <c r="AL54" i="21" l="1"/>
  <c r="AP18" i="19"/>
  <c r="AP59" i="10" s="1"/>
  <c r="AP23" i="19"/>
  <c r="AQ18" i="19"/>
  <c r="AR23" i="19"/>
  <c r="AR64" i="10" s="1"/>
  <c r="AR18" i="19"/>
  <c r="AR59" i="10" s="1"/>
  <c r="AQ23" i="19"/>
  <c r="AQ64" i="10" s="1"/>
  <c r="AS18" i="19"/>
  <c r="AS59" i="10" s="1"/>
  <c r="AS23" i="19"/>
  <c r="AS64" i="10" s="1"/>
  <c r="AR22" i="19"/>
  <c r="AR63" i="10" s="1"/>
  <c r="AS17" i="19"/>
  <c r="AS58" i="10" s="1"/>
  <c r="AS22" i="19"/>
  <c r="AP22" i="19"/>
  <c r="AP63" i="10" s="1"/>
  <c r="AQ22" i="19"/>
  <c r="AQ63" i="10" s="1"/>
  <c r="AQ17" i="19"/>
  <c r="AQ58" i="10" s="1"/>
  <c r="AP17" i="19"/>
  <c r="AP58" i="10" s="1"/>
  <c r="AR17" i="19"/>
  <c r="AR58" i="10" s="1"/>
  <c r="AR65" i="10" l="1"/>
  <c r="AO48" i="21" s="1"/>
  <c r="AS24" i="19"/>
  <c r="D58" i="10"/>
  <c r="AS19" i="19"/>
  <c r="AR60" i="10"/>
  <c r="AO46" i="21" s="1"/>
  <c r="AS63" i="10"/>
  <c r="D63" i="10" s="1"/>
  <c r="AQ24" i="19"/>
  <c r="AR24" i="19"/>
  <c r="AP24" i="19"/>
  <c r="AR19" i="19"/>
  <c r="AP19" i="19"/>
  <c r="AS60" i="10"/>
  <c r="AQ19" i="19"/>
  <c r="AQ59" i="10"/>
  <c r="AQ60" i="10" s="1"/>
  <c r="AN46" i="21" s="1"/>
  <c r="AP60" i="10"/>
  <c r="AQ65" i="10"/>
  <c r="AN48" i="21" s="1"/>
  <c r="AP64" i="10"/>
  <c r="D64" i="10" s="1"/>
  <c r="AO53" i="21" l="1"/>
  <c r="AN53" i="21"/>
  <c r="AS65" i="10"/>
  <c r="AP48" i="21" s="1"/>
  <c r="AN49" i="21"/>
  <c r="AO49" i="21"/>
  <c r="AN47" i="21"/>
  <c r="AO47" i="21"/>
  <c r="AP46" i="21"/>
  <c r="D60" i="10"/>
  <c r="D59" i="10"/>
  <c r="AP65" i="10"/>
  <c r="AM46" i="21"/>
  <c r="AP53" i="21" l="1"/>
  <c r="AN54" i="21"/>
  <c r="AO54" i="21"/>
  <c r="D65" i="10"/>
  <c r="AP49" i="21"/>
  <c r="AP47" i="21"/>
  <c r="D46" i="21"/>
  <c r="AM47" i="21"/>
  <c r="AM48" i="21"/>
  <c r="AM53" i="21" s="1"/>
  <c r="AP54" i="21" l="1"/>
  <c r="D48" i="21"/>
  <c r="D53" i="21"/>
  <c r="D47" i="21"/>
  <c r="AM49" i="21"/>
  <c r="D49" i="21" s="1"/>
  <c r="E25" i="1" l="1"/>
  <c r="AM54" i="21"/>
  <c r="D54" i="21" s="1"/>
  <c r="D65" i="21" s="1"/>
  <c r="E28" i="1" l="1"/>
  <c r="E30" i="1"/>
  <c r="D66" i="21"/>
  <c r="D10" i="21" l="1"/>
  <c r="E29" i="1"/>
  <c r="D7" i="21"/>
</calcChain>
</file>

<file path=xl/sharedStrings.xml><?xml version="1.0" encoding="utf-8"?>
<sst xmlns="http://schemas.openxmlformats.org/spreadsheetml/2006/main" count="983" uniqueCount="478">
  <si>
    <t>Benefit Cost Analysis</t>
  </si>
  <si>
    <t>Total Costs</t>
  </si>
  <si>
    <t>Total Project Benefits</t>
  </si>
  <si>
    <t>Overall Benefit-Cost Ratio</t>
  </si>
  <si>
    <t>Benefits</t>
  </si>
  <si>
    <t>Travel Time Savings - Private Vehicle Travel</t>
  </si>
  <si>
    <t>Travel Time Savings - Commercial Vehicle Travel</t>
  </si>
  <si>
    <t>Air Quality (reduced tons of NOx per year)</t>
  </si>
  <si>
    <t xml:space="preserve"> Safety</t>
  </si>
  <si>
    <t>Costs</t>
  </si>
  <si>
    <t>Project Costs</t>
  </si>
  <si>
    <t>Avoided Maintenance Costs - Roadway</t>
  </si>
  <si>
    <t>Reduction in Injury Accidents per year - Roadway</t>
  </si>
  <si>
    <t>Reduction in Fatal Accidents per year - Roadway</t>
  </si>
  <si>
    <t>Reduction in PDO accidents per year - Rail</t>
  </si>
  <si>
    <t>Reduction in Injury Accidents per year - Rail</t>
  </si>
  <si>
    <t>Reduction in Fatal Accidents per year - Rail</t>
  </si>
  <si>
    <t>Timeline &amp; Project Costs</t>
  </si>
  <si>
    <t>Design &amp; Construction Schedule</t>
  </si>
  <si>
    <t>Activity</t>
  </si>
  <si>
    <t>No</t>
  </si>
  <si>
    <t>Design</t>
  </si>
  <si>
    <t>Construction</t>
  </si>
  <si>
    <t>Benefits Begin</t>
  </si>
  <si>
    <t>Yes</t>
  </si>
  <si>
    <t>NEPA</t>
  </si>
  <si>
    <t>DIFFERENCE (Annual Maintenance Savings)</t>
  </si>
  <si>
    <t>Assumptions &amp; Calculations</t>
  </si>
  <si>
    <t>Cost Per Lane Mile (newer pavement)</t>
  </si>
  <si>
    <t>Safety</t>
  </si>
  <si>
    <t>DIFFERENCE</t>
  </si>
  <si>
    <t>Annualization Factor</t>
  </si>
  <si>
    <t>days</t>
  </si>
  <si>
    <t>Sustainability</t>
  </si>
  <si>
    <t>PDO</t>
  </si>
  <si>
    <t>Total</t>
  </si>
  <si>
    <t>Timeframe</t>
  </si>
  <si>
    <t># of Years</t>
  </si>
  <si>
    <t>Fatal Crashes</t>
  </si>
  <si>
    <t>Fatalities</t>
  </si>
  <si>
    <t>Injury Crashes</t>
  </si>
  <si>
    <t>Injuries</t>
  </si>
  <si>
    <t>Transportation Benefits</t>
  </si>
  <si>
    <t>Assumptions for Monetizing Benefits</t>
  </si>
  <si>
    <t>Avoided Crash Value</t>
  </si>
  <si>
    <t>Injury (U - Injured, Severity Unknown)</t>
  </si>
  <si>
    <t>Fatal Accident</t>
  </si>
  <si>
    <t>Economic Competiveness</t>
  </si>
  <si>
    <t>Value of Travel Time Savings - Private Vehicle Travel</t>
  </si>
  <si>
    <t>Personal</t>
  </si>
  <si>
    <t>Business</t>
  </si>
  <si>
    <t>All Purposes</t>
  </si>
  <si>
    <t>Value of Travel Time Savings - Commercial Vehicle Operators</t>
  </si>
  <si>
    <t>Truck Drivers</t>
  </si>
  <si>
    <t>Average Vehicle Occupancy</t>
  </si>
  <si>
    <t>Trucks</t>
  </si>
  <si>
    <t>Vehicle Operating Costs</t>
  </si>
  <si>
    <t>Car</t>
  </si>
  <si>
    <t>Truck</t>
  </si>
  <si>
    <t>Damage Costs for Pollutant Emissions</t>
  </si>
  <si>
    <t>NOx</t>
  </si>
  <si>
    <t>Inflation Adjustment Value</t>
  </si>
  <si>
    <t>ADT Prim</t>
  </si>
  <si>
    <t>ADT Sec</t>
  </si>
  <si>
    <t>120th Avenue</t>
  </si>
  <si>
    <t>124th Avenue</t>
  </si>
  <si>
    <t>Fatal MEV</t>
  </si>
  <si>
    <t>Inj MEV</t>
  </si>
  <si>
    <t>PDO MEV</t>
  </si>
  <si>
    <t>Adams</t>
  </si>
  <si>
    <t>Intersection Approach Delay</t>
  </si>
  <si>
    <t>Intersection Approach Volume</t>
  </si>
  <si>
    <t>Truck %</t>
  </si>
  <si>
    <t>AM % of Daily</t>
  </si>
  <si>
    <t>PM % of Daily</t>
  </si>
  <si>
    <t>2040 NB</t>
  </si>
  <si>
    <t>2040 Build</t>
  </si>
  <si>
    <t>PDO Crashes</t>
  </si>
  <si>
    <t>DIFFERENCE (Fatal Crashes)</t>
  </si>
  <si>
    <t>DIFFERENCE (Injury Crashes)</t>
  </si>
  <si>
    <t>Economic Competitiveness - Vehicles</t>
  </si>
  <si>
    <t>Base Case</t>
  </si>
  <si>
    <t>Regional Annual Truck Travel Time (vehicle-hours)</t>
  </si>
  <si>
    <t>Regional Annual Passenger Vehicle Travel Time (vehicle-hours)</t>
  </si>
  <si>
    <t>Avoided Maintenance Costs</t>
  </si>
  <si>
    <t>Crossing ID</t>
  </si>
  <si>
    <t>804435S</t>
  </si>
  <si>
    <t>804457S</t>
  </si>
  <si>
    <t>Safety - Vehicle</t>
  </si>
  <si>
    <t>Safety - Rail</t>
  </si>
  <si>
    <t>TOTAL</t>
  </si>
  <si>
    <t>Safety - Vehicles</t>
  </si>
  <si>
    <t>Grams per Short Ton =</t>
  </si>
  <si>
    <t>Air Quality (short tons per year of NOx)</t>
  </si>
  <si>
    <t>DIFFERENCE (Annual short tons of NOx Savings)</t>
  </si>
  <si>
    <t>DIFFERENCE (Annual short tons of VOC Savings)</t>
  </si>
  <si>
    <t>Sustainability - Reduction in Vehicle Emissions</t>
  </si>
  <si>
    <t xml:space="preserve">Sustainability </t>
  </si>
  <si>
    <t>Vehicle Crash Valuation</t>
  </si>
  <si>
    <t>2011 $</t>
  </si>
  <si>
    <t>Air Quality (short tons per year of PM)</t>
  </si>
  <si>
    <t>DIFFERENCE (Annual short tons of PM Savings)</t>
  </si>
  <si>
    <t>PM2.5</t>
  </si>
  <si>
    <t xml:space="preserve">Present Value of Total Costs </t>
  </si>
  <si>
    <t>Residual Value</t>
  </si>
  <si>
    <t>Useful Life</t>
  </si>
  <si>
    <t>Year Benefits Begin</t>
  </si>
  <si>
    <t>End of BCA Analysis</t>
  </si>
  <si>
    <t>Percent Remaining</t>
  </si>
  <si>
    <t>Years Remaining</t>
  </si>
  <si>
    <t>Post Analysis Period Maintenance</t>
  </si>
  <si>
    <t>Total Value Remaining at End of Analysis</t>
  </si>
  <si>
    <t>DIFFERENCE (PDO Crashes)</t>
  </si>
  <si>
    <t>Inj/Inj Crash</t>
  </si>
  <si>
    <t>Injury Crashes, Total Injuries</t>
  </si>
  <si>
    <t>PDO Crashes, Total Vehicles</t>
  </si>
  <si>
    <t>1 Veh Crash</t>
  </si>
  <si>
    <t>2 Veh Crash</t>
  </si>
  <si>
    <t>Avg Veh/Crash</t>
  </si>
  <si>
    <t>*Note: Used average for the Build condition</t>
  </si>
  <si>
    <t xml:space="preserve">January 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</si>
  <si>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</si>
  <si>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</si>
  <si>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</si>
  <si>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</si>
  <si>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</si>
  <si>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</si>
  <si>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</si>
  <si>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</si>
  <si>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</si>
  <si>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</si>
  <si>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</si>
  <si>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Weekend % of Weekday</t>
  </si>
  <si>
    <t>Days in a year</t>
  </si>
  <si>
    <t>Workdays in a year</t>
  </si>
  <si>
    <t>Weekends/Holidays</t>
  </si>
  <si>
    <t>Net Present Value of Entire Project</t>
  </si>
  <si>
    <t>Lane Miles</t>
  </si>
  <si>
    <t>Injury</t>
  </si>
  <si>
    <t>DIFFERENCE (Fatalities)</t>
  </si>
  <si>
    <t>DIFFERENCE (Injuries)</t>
  </si>
  <si>
    <t>DIFFERENCE (Vehicles involved in PDO Crashes)</t>
  </si>
  <si>
    <t>State of Good Repair - Residual Value</t>
  </si>
  <si>
    <t>Reduction in PDO accidents per year - Roadway</t>
  </si>
  <si>
    <t>*Note: Lane miles will not change on the US85 nor are any work planned to the actual highway beyond interchange/intersection improvements</t>
  </si>
  <si>
    <t xml:space="preserve"> </t>
  </si>
  <si>
    <t>TOTAL PROJECT DELAY SAVINGS --------&gt;</t>
  </si>
  <si>
    <t>Projected Costs - Please see Appendix A for detailed proposed cost estimates</t>
  </si>
  <si>
    <t>ROW for 120th Avenue Interchange</t>
  </si>
  <si>
    <t>Emissions Reductions</t>
  </si>
  <si>
    <t>Maintenance</t>
  </si>
  <si>
    <t>Avg. Train Speed (mph)</t>
  </si>
  <si>
    <t>Avg. Blockage per Train (min)</t>
  </si>
  <si>
    <t>Volume (trains/day)</t>
  </si>
  <si>
    <t>Gate Down (hrs/day)</t>
  </si>
  <si>
    <t>2040 Traffic Volume</t>
  </si>
  <si>
    <t>Combined direction daily entering vehicles</t>
  </si>
  <si>
    <t>% of day</t>
  </si>
  <si>
    <t>Hours of Vehicular Delay</t>
  </si>
  <si>
    <t>Percent Trucks</t>
  </si>
  <si>
    <t>NEPA/Design</t>
  </si>
  <si>
    <t>NEPA Project Costs</t>
  </si>
  <si>
    <t>Design/ROW</t>
  </si>
  <si>
    <t>ROW</t>
  </si>
  <si>
    <t>Routine Maintenance for 1 Mile of 4 Lane Highway</t>
  </si>
  <si>
    <t>per lane mile</t>
  </si>
  <si>
    <t>Source: CDOT maintenance life cycle cost estimates</t>
  </si>
  <si>
    <t>CDOT Design</t>
  </si>
  <si>
    <t>UPRR Design</t>
  </si>
  <si>
    <t>Interchange Pavement Area</t>
  </si>
  <si>
    <t>SY</t>
  </si>
  <si>
    <t>Intersection Pavement Area</t>
  </si>
  <si>
    <t>Cost of Asphalt Repaving</t>
  </si>
  <si>
    <t>per SY</t>
  </si>
  <si>
    <t>Repavement Schedule</t>
  </si>
  <si>
    <t>Intersection Repaving</t>
  </si>
  <si>
    <t>Interchange Repaving</t>
  </si>
  <si>
    <t>Annual Maintenance costs</t>
  </si>
  <si>
    <t>Annual Interchange Maintenance</t>
  </si>
  <si>
    <t>Annual Intersection Maintenance</t>
  </si>
  <si>
    <t>Source: CDOT; Section 5 average annual maintenance costs per major interstate interchange</t>
  </si>
  <si>
    <t>Operations &amp; Maintenance</t>
  </si>
  <si>
    <t>Residual Value &amp; Remaining Service Life</t>
  </si>
  <si>
    <t>Value of Travel Time Savings</t>
  </si>
  <si>
    <t>Emissions Reductions Benefits</t>
  </si>
  <si>
    <t>Operating &amp; Maintenance Expenditures</t>
  </si>
  <si>
    <t>Comprehensive Costs of Highway-Rail Grade Crossing Costs</t>
  </si>
  <si>
    <t>Source: NCHRP Report 755</t>
  </si>
  <si>
    <t>Crash Cost = Predicted Crashes * (Primary Effect Costs Per Crash + Secondary Effect Costs per Crash)</t>
  </si>
  <si>
    <t>Property Damage Per Crash</t>
  </si>
  <si>
    <t>Fatal</t>
  </si>
  <si>
    <t>Non-Fatal Injury</t>
  </si>
  <si>
    <t>Source: NCHRP Report 755, Table 7. Highway vehicle property damage at grade cossing crashes, 2009-2011</t>
  </si>
  <si>
    <t>Average Rail Equipment Damage</t>
  </si>
  <si>
    <t>Average Rail Infrastructure Damage</t>
  </si>
  <si>
    <t>Source: NCHRP Report 755, Table 8 FRA data for grade crossings with reported rail damages, 2009-2011 ($)</t>
  </si>
  <si>
    <t>Avoided Crash Value (Primary Effects Only)</t>
  </si>
  <si>
    <t>Primary Effect Costs Per Crash = (Cost per Casualty * Average # of Casualties) + Property Damage Per Crash</t>
  </si>
  <si>
    <t>*Note: Used average for the Preferred condition</t>
  </si>
  <si>
    <t>per interchange</t>
  </si>
  <si>
    <t>per intersection</t>
  </si>
  <si>
    <t>Sunday</t>
  </si>
  <si>
    <t>Monday</t>
  </si>
  <si>
    <t>Tuesday</t>
  </si>
  <si>
    <t>Wednesday</t>
  </si>
  <si>
    <t>Thursday</t>
  </si>
  <si>
    <t>Friday</t>
  </si>
  <si>
    <t>Saturday</t>
  </si>
  <si>
    <t>Weekend Fr-Sun</t>
  </si>
  <si>
    <t>Weekday Mon-Thur</t>
  </si>
  <si>
    <t>Weekday Tu-Thur</t>
  </si>
  <si>
    <t>Weekend Sat -Sun</t>
  </si>
  <si>
    <t>Weekday Mon-Fri</t>
  </si>
  <si>
    <t>BASELINE (No CRISI Grant) total annual truck stopped delay, hrs</t>
  </si>
  <si>
    <t>BASELINE (No CRISI Grant) total annual passenger vehicle stopped delay, hrs</t>
  </si>
  <si>
    <t>*Note: 2017 AADT is an estimated representative value for the primary and secondary approaches for the 5-year crash rate analysis time period</t>
  </si>
  <si>
    <t>2017 Build</t>
  </si>
  <si>
    <t>Based on 365 days a year, assuming that weekends and holidays are 75% of a weekday the traffic level.  US 85 counts actually suggest 80-90%; detailed calculations included on Summary of Benefits tab</t>
  </si>
  <si>
    <t>FHWA Classsification</t>
  </si>
  <si>
    <t>NB</t>
  </si>
  <si>
    <t>SB</t>
  </si>
  <si>
    <t>%</t>
  </si>
  <si>
    <t>Volume</t>
  </si>
  <si>
    <t>Percent Heavy Vehicle Calculation</t>
  </si>
  <si>
    <t>Passenger Vehicles &amp; Motorcycles</t>
  </si>
  <si>
    <t>Single Unit Trucks</t>
  </si>
  <si>
    <t>Combination Unit Truks</t>
  </si>
  <si>
    <t>Source: CDOT OTIS Continuous Counter on SH 85 N/O Weld County Road 18 (Station Id: 103694)</t>
  </si>
  <si>
    <t>Source: Revised Departmental Guidance on Valuation of Travel Time in Economic Analysis which notes that value of travel time is for the operator only, and not passengers or freight</t>
  </si>
  <si>
    <t>Reduction in Fatal Crashes</t>
  </si>
  <si>
    <t>Reduction in Injury Crashes</t>
  </si>
  <si>
    <t>Reduction in Property Damage Only Crashes</t>
  </si>
  <si>
    <t>PREFERRED (With CRISI Grant) total annual truck stopped delay, hrs</t>
  </si>
  <si>
    <t>PREFERRED (With CRISI Grant) total annual passenger vehicle stopped delay, hrs</t>
  </si>
  <si>
    <t>Travel Time Savings</t>
  </si>
  <si>
    <t>TTBL SPD</t>
  </si>
  <si>
    <t>US 85 Functional Classification</t>
  </si>
  <si>
    <t>120th (E/O US 85) Functional Classification</t>
  </si>
  <si>
    <t>Source: 24- hour Functional Classification Counts on 120th Avenue E/O US 85 near the RR-Crossing (6/2/2016)</t>
  </si>
  <si>
    <t>Source: 24- hour Functional Classification Counts on 124th Avenue E/O US 85 near the RR-Crossing (8/25/2016)</t>
  </si>
  <si>
    <t>124th (E/O US 85) Functional Classification</t>
  </si>
  <si>
    <t>Reference BCA Guidance:</t>
  </si>
  <si>
    <t>$</t>
  </si>
  <si>
    <t>All BCA costs and benefits are adjusted to reflect</t>
  </si>
  <si>
    <t>discount rate</t>
  </si>
  <si>
    <t>Bus Drivers</t>
  </si>
  <si>
    <t>Transit Rail Operators</t>
  </si>
  <si>
    <t>Locomotive Engineers</t>
  </si>
  <si>
    <t>Monetized Value of NOx</t>
  </si>
  <si>
    <t>Monetized Value of SO2</t>
  </si>
  <si>
    <t>Yearly Present Value of Project</t>
  </si>
  <si>
    <t>Air Quality (reduced tons of SO2 per year)</t>
  </si>
  <si>
    <t>Monetized Value of PM 2.5 (do not apply to PM 10)</t>
  </si>
  <si>
    <t xml:space="preserve">Air Quality (short tons per year of SO2) </t>
  </si>
  <si>
    <t>Air Quality (short tons per year of PM 2.5)</t>
  </si>
  <si>
    <t>DIFFERENCE (Annual short tons of PM 2.5 Savings)</t>
  </si>
  <si>
    <t>Air Quality (reduced tons of PM 2.5 per year)</t>
  </si>
  <si>
    <t>SO2</t>
  </si>
  <si>
    <t>EB Approach - 120th Avenue</t>
  </si>
  <si>
    <t>WB Approach - 120th Avenue</t>
  </si>
  <si>
    <t>NB Approach - US 85</t>
  </si>
  <si>
    <t>SB Approach - US 85</t>
  </si>
  <si>
    <t>SB Ramp Terminal Approach Volume</t>
  </si>
  <si>
    <t>SB Ramp Terminal Approach Delay</t>
  </si>
  <si>
    <t>NB Ramp Terminal Approach Volume</t>
  </si>
  <si>
    <t>NB Ramp Terminal Approach Delay</t>
  </si>
  <si>
    <t>NB Ramp Terminal AM Peak Hour Total Vehicular Delay, hrs</t>
  </si>
  <si>
    <t>SB Ramp Terminal AM Peak Hour Total Vehicular Delay, hrs</t>
  </si>
  <si>
    <t>120th Avenue &amp; US 85</t>
  </si>
  <si>
    <t>SB Approach - US 85 Ramp</t>
  </si>
  <si>
    <t>SB Ramp Terminal PM Peak Hour Total Vehicular Delay, hrs</t>
  </si>
  <si>
    <t>NB Approach - US 85 Ramp</t>
  </si>
  <si>
    <t>NB Ramp Terminal PM Peak Hour Total Vehicular Delay, hrs</t>
  </si>
  <si>
    <t>PREFERRED (CRISI Grant) PM Peak Hour Total Vehicular Delay, hrs</t>
  </si>
  <si>
    <t>124th Avenue Intersection</t>
  </si>
  <si>
    <t>WB Approach - 124th Avenue</t>
  </si>
  <si>
    <t>EB Approach - 124th Avenue</t>
  </si>
  <si>
    <t>Intersection Approach Volume - INTERSECTION CLOSED</t>
  </si>
  <si>
    <t>Intersection Approach Delay - INTERSECTION CLOSED</t>
  </si>
  <si>
    <t>120th Avenue Interchange</t>
  </si>
  <si>
    <t>US 85 Location ID: 106694; 120th Location ID: 105913</t>
  </si>
  <si>
    <t>US 85 Location ID: 103685; 124th Location ID: 100766</t>
  </si>
  <si>
    <t>Maintenance Cost Assumptions</t>
  </si>
  <si>
    <t>2017$</t>
  </si>
  <si>
    <t>Vehicle Rail Crossing Delay Savings - 120th Avenue Grade Separation &amp; 124th Avenue Partial Closure</t>
  </si>
  <si>
    <t>Train Rail Crossing Delay Savings - 120th Avenue Grade Separation &amp; 124th Avenue Partial Closure</t>
  </si>
  <si>
    <t>Annualization for NFR Model</t>
  </si>
  <si>
    <t>Rail Crossing Delay Savings - 120th Avenue Grade Separation &amp; 124th Avenue Closure</t>
  </si>
  <si>
    <t>Vehicular Delay at the Rail Crossings</t>
  </si>
  <si>
    <t>124th Avenue - Local Service and Switching - Base Case</t>
  </si>
  <si>
    <t>2019 ADT</t>
  </si>
  <si>
    <t>Local Service to 124th Avenue Coop</t>
  </si>
  <si>
    <t>-</t>
  </si>
  <si>
    <t>Regional Service</t>
  </si>
  <si>
    <t>124th Avenue - Local Service and Switching - Preferred Case</t>
  </si>
  <si>
    <t>Preferred Case</t>
  </si>
  <si>
    <t>Average Train Length</t>
  </si>
  <si>
    <t>ft</t>
  </si>
  <si>
    <t>Source: UPRR</t>
  </si>
  <si>
    <t>Combined Truck Average:</t>
  </si>
  <si>
    <t>Train Delay at the Rail Crossings</t>
  </si>
  <si>
    <t>124th Avenue - Local Service and Switching</t>
  </si>
  <si>
    <t>Local Service - Switching Time at 124th Avenue Coop</t>
  </si>
  <si>
    <t>minutes</t>
  </si>
  <si>
    <t>Switching Time Savings Under Preferred Case</t>
  </si>
  <si>
    <t>Switching Time (min)</t>
  </si>
  <si>
    <t xml:space="preserve">Avg. Time to Clear 124th (min) </t>
  </si>
  <si>
    <t>Daily Switching Time (hr)</t>
  </si>
  <si>
    <t>120th Avenue - Elimination of At-Grade Crossing Resulting in Higher Average Speeds</t>
  </si>
  <si>
    <t>Avg. Time to Clear 120th (min)</t>
  </si>
  <si>
    <t>Avg. Daily Clearance Time (hr)</t>
  </si>
  <si>
    <t>Source: UPRR - up to 60 miles per hour with grade separation</t>
  </si>
  <si>
    <t>Source: 24- hour Functional Classification Counts on U85 North of120th conducted on 10/30/2018; Available on the CDOT MS2 Transportation Data Mangement System Website</t>
  </si>
  <si>
    <t>Source: 24- hour Functional Classification Counts on 124th Avenue E/O US 85 near the RR-Crossing (8/23/2016)</t>
  </si>
  <si>
    <t>Formula Constant, K</t>
  </si>
  <si>
    <t>AADT, c</t>
  </si>
  <si>
    <t>Average Total Train Movements per day, c</t>
  </si>
  <si>
    <t>Exposure Index Factor, EI</t>
  </si>
  <si>
    <t>Main Tracks Factor, MT</t>
  </si>
  <si>
    <t>Average # of Thru Trains during Daylight, d</t>
  </si>
  <si>
    <t>Day Thru Trains Factor, DT</t>
  </si>
  <si>
    <t>Highway Paved Factor, HP</t>
  </si>
  <si>
    <t>Maximum Speed Factor, MS</t>
  </si>
  <si>
    <t>Highway Type Factor, HT</t>
  </si>
  <si>
    <t>Highway Lanes Factor, HL</t>
  </si>
  <si>
    <t>Initial Collision Prediction, Collisions per year at the crossing, a</t>
  </si>
  <si>
    <t>Final Accident Prediction, Collisions per year</t>
  </si>
  <si>
    <t>Fatal Maximum Timetable Train Speed Factor, MS</t>
  </si>
  <si>
    <t>Thru Trains per Day Factor, TT</t>
  </si>
  <si>
    <t>Switch Train per Day Factor, TS</t>
  </si>
  <si>
    <t>Fatal Urban-Rural Crossing Factor, UR</t>
  </si>
  <si>
    <t>Fatal Accident Probability, P(FA|A)</t>
  </si>
  <si>
    <t>Injury Urban-Rural Crossing Factor, UR</t>
  </si>
  <si>
    <t>Injury Maximum Timetable Train Speed Factor, MS</t>
  </si>
  <si>
    <t>Number of Tracks Factor, TK</t>
  </si>
  <si>
    <t>Injury Accident Probability, P(IA|A)</t>
  </si>
  <si>
    <t>Crossing Location</t>
  </si>
  <si>
    <t>City</t>
  </si>
  <si>
    <t>County</t>
  </si>
  <si>
    <t>Number of Collisions</t>
  </si>
  <si>
    <t>WD</t>
  </si>
  <si>
    <t>XING TYPE</t>
  </si>
  <si>
    <t>TOT TRN</t>
  </si>
  <si>
    <t>TOT TRK</t>
  </si>
  <si>
    <t>HWY LNS</t>
  </si>
  <si>
    <t>AADT</t>
  </si>
  <si>
    <t>t</t>
  </si>
  <si>
    <t>mt</t>
  </si>
  <si>
    <t>ms</t>
  </si>
  <si>
    <t>hl</t>
  </si>
  <si>
    <t>c</t>
  </si>
  <si>
    <t>d</t>
  </si>
  <si>
    <t>ht</t>
  </si>
  <si>
    <t>hp</t>
  </si>
  <si>
    <t>N</t>
  </si>
  <si>
    <t>ts</t>
  </si>
  <si>
    <t>GT</t>
  </si>
  <si>
    <t>a</t>
  </si>
  <si>
    <t>Urban/Rural</t>
  </si>
  <si>
    <t>Pred. Collisions</t>
  </si>
  <si>
    <t>DAY TRNS</t>
  </si>
  <si>
    <t>Road Type</t>
  </si>
  <si>
    <t>Highway Paved</t>
  </si>
  <si>
    <t>Switch Trns</t>
  </si>
  <si>
    <t>Henderson</t>
  </si>
  <si>
    <t>Rural</t>
  </si>
  <si>
    <t>hwy Sys</t>
  </si>
  <si>
    <t>Collision Prediction Calculations (Calculations Consistent with the Railroad-Highway Grade Crossing Handbook, Revised Second Edition</t>
  </si>
  <si>
    <t>Rail Crossing Crash Valuation</t>
  </si>
  <si>
    <t>Per NCHRP 755, Primary Effect Costs Per Crash = (Cost per Casualty * Average # of Casualties) + Property Damage Per Crash</t>
  </si>
  <si>
    <t>US 85/120th Avenue Grade-Separation and Interchange Project</t>
  </si>
  <si>
    <t>Passenger Vehicle Idling Emissions (grams/hr) - 5 MPH</t>
  </si>
  <si>
    <t>US 85</t>
  </si>
  <si>
    <t>Passenger Vehicle - Idling Emissions</t>
  </si>
  <si>
    <t>Source: 2021 and 2055 emission factors are from MOVES modeling for Adams County, CO conducted June 2021</t>
  </si>
  <si>
    <t>Emission Factors for all other years have been interpolated assuming a straight line growth between 2021 and 2040</t>
  </si>
  <si>
    <t>Truck - Idling Emissions</t>
  </si>
  <si>
    <t>Truck Idling Emissions (grams/hr) - 5 MPH</t>
  </si>
  <si>
    <t>Final Design &amp; Construction Engineering</t>
  </si>
  <si>
    <t>Conceptual Design &amp; Preliminary Engineering</t>
  </si>
  <si>
    <t>DIFFERENCE (Annual short tons of SO2 Savings)</t>
  </si>
  <si>
    <t>Injury Crash, per injury</t>
  </si>
  <si>
    <t>Fatal Crash, per fatality</t>
  </si>
  <si>
    <t>Damage Costs for Emissions per Metric Ton</t>
  </si>
  <si>
    <t>Source: 3-year average maintenance intersections</t>
  </si>
  <si>
    <t>Source: The Economic and Societal Impact of Motor Vehicle Crashes, 2019 (Revised February 2023), inflated to 2022$</t>
  </si>
  <si>
    <t>PDO Crash Monetized Value</t>
  </si>
  <si>
    <t>Assumed vehicles per crash</t>
  </si>
  <si>
    <t>PDO, Monetization per vehicle in PDO Crash</t>
  </si>
  <si>
    <t>Injury Crash Monetized Value</t>
  </si>
  <si>
    <t>Assumed injuries per crash</t>
  </si>
  <si>
    <t>Source: Treatment of the Economic Value of Preventing Fatalities and Injuries in Preparing Economic Analyses (2022)</t>
  </si>
  <si>
    <t>Assumed fatalities per crash</t>
  </si>
  <si>
    <t>Source: Revised Departmental Guidance on Valuation of Travel Time in Economic Analysis, 2016 (inflated to 2022$)</t>
  </si>
  <si>
    <t>Value of Travel Time Savings - Walking, Cycling, Waiting, Standing, and Transfer Time</t>
  </si>
  <si>
    <t>Walking, Cycling, Waiting, Standing, and Transfer Time</t>
  </si>
  <si>
    <t>Passenger Vehicles (All Travel)</t>
  </si>
  <si>
    <t>Train Operating and Societal Costs</t>
  </si>
  <si>
    <t>Train and Movement Type</t>
  </si>
  <si>
    <t>Operating Costs</t>
  </si>
  <si>
    <t>Non-CO2 Emission Costs</t>
  </si>
  <si>
    <t>Source: Cost of Delay from HAZMAT Rail Incidents (October 2023)</t>
  </si>
  <si>
    <t>Idling</t>
  </si>
  <si>
    <t>Freight Train</t>
  </si>
  <si>
    <t>Commuter Train</t>
  </si>
  <si>
    <t>Amtrak Long-Distance</t>
  </si>
  <si>
    <t>Amtrak State-Supported</t>
  </si>
  <si>
    <t>Hauling</t>
  </si>
  <si>
    <t>All Movements</t>
  </si>
  <si>
    <t>Freight Railcar</t>
  </si>
  <si>
    <t>*Note: From above calculations, it has been conservatively assumed that average weekend/holiday daily volume is 75% of weekday volume</t>
  </si>
  <si>
    <t xml:space="preserve">Based on 365 days a year, assuming that weekends and holidays are 75% of a weekday the traffic level. </t>
  </si>
  <si>
    <t>2003 Previous ROW Acquisition, 2003$</t>
  </si>
  <si>
    <t>2011 Previous ROW Acquisition, 2011$</t>
  </si>
  <si>
    <t>AP-389 - Hanson - 11001 E. 120th Ave., 2022$</t>
  </si>
  <si>
    <t>AP-412 - Hillje - 12265 Highway 85, 2022$</t>
  </si>
  <si>
    <t>ROW Acquisitions</t>
  </si>
  <si>
    <t>Future ROW Acquisitions</t>
  </si>
  <si>
    <t>Project Costs, 2022$</t>
  </si>
  <si>
    <t>*ALL COSTS INCURRED PRIOR TO 2018 HAVE BEEN INCLUDED IN 2018 TOTALS</t>
  </si>
  <si>
    <t>Conceptual Design</t>
  </si>
  <si>
    <t>Train Operating Avoided Idling</t>
  </si>
  <si>
    <t>Train Operating and Social Costs</t>
  </si>
  <si>
    <t>Freight Train Idling</t>
  </si>
  <si>
    <t>Note: All averaged annual maintenance costs were conservatively assumed to reflect 2017$ and have been adjusted to 2022$</t>
  </si>
  <si>
    <t>Table 24. U.S. DOT Final Accident Prediction from Initial Prediction and Accident History, (5 years of accident data (T = 5))</t>
  </si>
  <si>
    <t>3 Veh Crash</t>
  </si>
  <si>
    <t>4+ Veh Crash</t>
  </si>
  <si>
    <t>Recent (2019) Counts</t>
  </si>
  <si>
    <t>Existing (2019)</t>
  </si>
  <si>
    <t>Average Volume</t>
  </si>
  <si>
    <t>Weekend Fri -Mon</t>
  </si>
  <si>
    <t>BASELINE (No RAISE Grant) total annual delay, hrs</t>
  </si>
  <si>
    <t>PREFERRED (With RAISE Grant) total annual delay, hrs</t>
  </si>
  <si>
    <t>BUILD Grant</t>
  </si>
  <si>
    <t>Appendix A of the USDOT Benefit-Cost Analysis Guidance for Discretionary Grant Programs, December 2025</t>
  </si>
  <si>
    <t>Source: Bureau of Economic Analysis, National Income and Product Accounts, Table 1.1.9, “Implicit Price Deflators for Gross Domestic Product” (September 2025)</t>
  </si>
  <si>
    <t>Source: 2022 National Household Travel Survey</t>
  </si>
  <si>
    <t>Source: American Automobile Association, Your Driving Costs – 2024 Edition (2022)</t>
  </si>
  <si>
    <t>Source: American Transportation Research Institute, An Analysis of the Operational Costs of Truck: 2025 Update</t>
  </si>
  <si>
    <t>Source: Table A-6 of the USDOT’s Benefit-Cost Analysis Guidance for Discretionary Grant Programs (December 2025)</t>
  </si>
  <si>
    <t>Total Project</t>
  </si>
  <si>
    <t>Total Benefits</t>
  </si>
  <si>
    <t>Present Value of Total Costs (7% Discount Rate)</t>
  </si>
  <si>
    <t>Net Present Value (7% Discount Rate)</t>
  </si>
  <si>
    <t>Benefit-Cost Ratio 7% Discount Rate</t>
  </si>
  <si>
    <t>Present Value at 7% Discount Rate</t>
  </si>
  <si>
    <t>Yearly Present Value of Project Costs at 7% Discount Rate</t>
  </si>
  <si>
    <t>Net Present Value of Entire Project @ 7% Discount Rate</t>
  </si>
  <si>
    <t>Benefit-Cost Ratio @ 7% Discount Rate</t>
  </si>
  <si>
    <t>2025 Monthly Average Daily Traffic</t>
  </si>
  <si>
    <t>ADT 2025</t>
  </si>
  <si>
    <t>Source: Bureau of Economic Analysis, National Income and Product Accounts, Table 1.1.9, “Implicit Price Deflators for Gross Domestic Product” (October 2023) used to calculate 2003$ to 2022$, and then increased to 2024$ using September 2025 multipliers</t>
  </si>
  <si>
    <t>TOTAL CONSTRUCTION EXPENDITURES, BY YEAR (2024$)</t>
  </si>
  <si>
    <t>TOTAL ROW EXPENDITURES, BY YEAR (2024$)</t>
  </si>
  <si>
    <t>TOTAL CON. DESIGN / PRELIM ENG EXPENDITURES, BY YEAR (2024$)</t>
  </si>
  <si>
    <t>TOTAL FINAL DESIGN &amp; CONST. ENG. EXPENDITURES, BY YEAR (2024$)</t>
  </si>
  <si>
    <t>TOTAL NEPA EXPENDITURES, BY YEAR (2024$)</t>
  </si>
  <si>
    <t>(07/2022-06/2025)</t>
  </si>
  <si>
    <t>Source: Colorado Department of Transportation - DiExSys Roadway Safety Systems Direct Diagnostics (Spot Location) Analysis on 120th Interchange &amp; 124th Intersection (07/2022-06/2025)</t>
  </si>
  <si>
    <t>Source: Annual WBAPS Web Accident Prediction System for Public at-Grade Crossings (Version 2.0.0.114)</t>
  </si>
  <si>
    <t>2024$</t>
  </si>
  <si>
    <t>Multiplier to Adjust to Real 2024$</t>
  </si>
  <si>
    <t>Costs (2024 $) less ROW</t>
  </si>
  <si>
    <t>TOTAL CONSTRUCTION EXPENDITURES, (2024$)</t>
  </si>
  <si>
    <t>AP-385 - Thoms - 11010 E. 120th Ave.</t>
  </si>
  <si>
    <t>Remaining CRISI ROW Acquisition</t>
  </si>
  <si>
    <t>Railroad Right-of-Way / Easements</t>
  </si>
  <si>
    <t>Right-of-Way / Permanent &amp; Temporary Easements</t>
  </si>
  <si>
    <t>Future ROW Acquisitions (CRISI)</t>
  </si>
  <si>
    <t>Prelim. Engineering &amp; NEPA</t>
  </si>
  <si>
    <t>Consultant Design &amp; NEPA</t>
  </si>
  <si>
    <t>Benefit Cost Ratio</t>
  </si>
  <si>
    <t>Present Value at 7.0% Discount Rate</t>
  </si>
  <si>
    <t>2024-2055</t>
  </si>
  <si>
    <t>2003$ to 2022$</t>
  </si>
  <si>
    <t>DIFFERENCE Operations &amp; Maintenance Costs</t>
  </si>
  <si>
    <t>Source: Technical Support Document: Estimating the Benefit per Ton of Reducing PM2.5 Precursors from 17 Sectors (February 2018).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</si>
</sst>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;\(0\)"/>
    <numFmt numFmtId="165" formatCode="_(&quot;$&quot;* #,##0_);_(&quot;$&quot;* \(#,##0\);_(&quot;$&quot;* &quot;-&quot;??_);_(@_)"/>
    <numFmt numFmtId="166" formatCode="_(* #,##0_);_(* \(#,##0\);_(* &quot;-&quot;??_);_(@_)"/>
    <numFmt numFmtId="167" formatCode="0.0%"/>
    <numFmt numFmtId="168" formatCode="0.000%"/>
    <numFmt numFmtId="169" formatCode="_(* #,##0.0_);_(* \(#,##0.0\);_(* &quot;-&quot;??_);_(@_)"/>
    <numFmt numFmtId="170" formatCode="0.0"/>
    <numFmt numFmtId="171" formatCode="_(* #,##0.0000_);_(* \(#,##0.0000\);_(* &quot;-&quot;??_);_(@_)"/>
    <numFmt numFmtId="172" formatCode="m\o\n\th\ d\,\ yyyy"/>
    <numFmt numFmtId="173" formatCode="#.00"/>
    <numFmt numFmtId="174" formatCode="#."/>
    <numFmt numFmtId="175" formatCode="General_)"/>
    <numFmt numFmtId="176" formatCode="[Red]&quot;E: &quot;#,##0;[Red]&quot;E: &quot;\-#,##0;[Blue]&quot;OK&quot;"/>
    <numFmt numFmtId="177" formatCode="_(* #,##0.000000_);_(* \(#,##0.000000\);_(* &quot;-&quot;??_);_(@_)"/>
    <numFmt numFmtId="178" formatCode="[$-F800]dddd\,\ mmmm\ dd\,\ yyyy"/>
    <numFmt numFmtId="179" formatCode="#,##0.0_);\(#,##0.0\)"/>
    <numFmt numFmtId="180" formatCode="0.000"/>
    <numFmt numFmtId="181" formatCode="_(* #,##0.000_);_(* \(#,##0.000\);_(* &quot;-&quot;??_);_(@_)"/>
    <numFmt numFmtId="182" formatCode="&quot;$&quot;#,##0"/>
  </numFmts>
  <fonts count="82">
    <font>
      <sz val="10"/>
      <color theme="1"/>
      <name val="Gill Sans MT"/>
      <family val="2"/>
    </font>
    <font>
      <sz val="10"/>
      <color theme="1"/>
      <name val="Gill Sans MT"/>
      <family val="2"/>
    </font>
    <font>
      <b/>
      <sz val="15"/>
      <color theme="3"/>
      <name val="Gill Sans MT"/>
      <family val="2"/>
    </font>
    <font>
      <b/>
      <sz val="13"/>
      <color theme="3"/>
      <name val="Gill Sans MT"/>
      <family val="2"/>
    </font>
    <font>
      <b/>
      <sz val="11"/>
      <color theme="3"/>
      <name val="Gill Sans MT"/>
      <family val="2"/>
    </font>
    <font>
      <i/>
      <sz val="10"/>
      <color rgb="FF7F7F7F"/>
      <name val="Gill Sans MT"/>
      <family val="2"/>
    </font>
    <font>
      <b/>
      <sz val="10"/>
      <color theme="1"/>
      <name val="Gill Sans MT"/>
      <family val="2"/>
    </font>
    <font>
      <sz val="10"/>
      <color theme="0"/>
      <name val="Gill Sans MT"/>
      <family val="2"/>
    </font>
    <font>
      <sz val="10"/>
      <name val="Arial"/>
      <family val="2"/>
    </font>
    <font>
      <sz val="10"/>
      <name val="Gill Sans MT"/>
      <family val="2"/>
    </font>
    <font>
      <b/>
      <sz val="10"/>
      <name val="Gill Sans MT"/>
      <family val="2"/>
    </font>
    <font>
      <sz val="10"/>
      <color indexed="10"/>
      <name val="Gill Sans MT"/>
      <family val="2"/>
    </font>
    <font>
      <b/>
      <sz val="10"/>
      <color rgb="FF00677F"/>
      <name val="Gill Sans MT"/>
      <family val="2"/>
    </font>
    <font>
      <b/>
      <sz val="10"/>
      <color rgb="FF7A9A01"/>
      <name val="Gill Sans MT"/>
      <family val="2"/>
    </font>
    <font>
      <i/>
      <sz val="10"/>
      <color theme="1"/>
      <name val="Gill Sans MT"/>
      <family val="2"/>
    </font>
    <font>
      <b/>
      <i/>
      <sz val="10"/>
      <color rgb="FF7A9A01"/>
      <name val="Gill Sans MT"/>
      <family val="2"/>
    </font>
    <font>
      <b/>
      <i/>
      <sz val="10"/>
      <color theme="8"/>
      <name val="Gill Sans MT"/>
      <family val="2"/>
    </font>
    <font>
      <b/>
      <sz val="10"/>
      <color theme="8"/>
      <name val="Gill Sans MT"/>
      <family val="2"/>
    </font>
    <font>
      <b/>
      <sz val="10"/>
      <color theme="6"/>
      <name val="Gill Sans MT"/>
      <family val="2"/>
    </font>
    <font>
      <b/>
      <sz val="10"/>
      <color theme="0"/>
      <name val="Gill Sans MT"/>
      <family val="2"/>
    </font>
    <font>
      <sz val="11"/>
      <color theme="1"/>
      <name val="Calibri"/>
      <family val="2"/>
      <scheme val="minor"/>
    </font>
    <font>
      <b/>
      <sz val="12"/>
      <color theme="3"/>
      <name val="Gill Sans MT"/>
      <family val="2"/>
    </font>
    <font>
      <b/>
      <sz val="10"/>
      <color theme="3"/>
      <name val="Gill Sans MT"/>
      <family val="2"/>
    </font>
    <font>
      <u/>
      <sz val="10"/>
      <color indexed="12"/>
      <name val="Arial"/>
      <family val="2"/>
    </font>
    <font>
      <sz val="10"/>
      <color theme="8"/>
      <name val="Gill Sans MT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</font>
    <font>
      <b/>
      <sz val="13"/>
      <color theme="0"/>
      <name val="Calibri"/>
      <family val="2"/>
    </font>
    <font>
      <sz val="11"/>
      <color indexed="9"/>
      <name val="Calibri"/>
      <family val="2"/>
    </font>
    <font>
      <sz val="12"/>
      <color theme="1"/>
      <name val="Calibri Light"/>
      <family val="2"/>
    </font>
    <font>
      <sz val="8"/>
      <name val="Arial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0"/>
      <color rgb="FF000000"/>
      <name val="Times New Roman"/>
      <family val="1"/>
    </font>
    <font>
      <sz val="7"/>
      <name val="Arial MT"/>
    </font>
    <font>
      <sz val="8"/>
      <name val="Courier"/>
      <family val="3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8"/>
      <name val="Helv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2"/>
      <name val="Times New Roman"/>
      <family val="1"/>
    </font>
    <font>
      <sz val="11"/>
      <color rgb="FF9C6500"/>
      <name val="Calibri"/>
      <family val="2"/>
      <scheme val="minor"/>
    </font>
    <font>
      <b/>
      <sz val="14"/>
      <color theme="1"/>
      <name val="Gill Sans MT"/>
      <family val="2"/>
    </font>
    <font>
      <b/>
      <i/>
      <sz val="10"/>
      <color theme="9"/>
      <name val="Gill Sans MT"/>
      <family val="2"/>
    </font>
    <font>
      <b/>
      <sz val="10"/>
      <color theme="9"/>
      <name val="Gill Sans MT"/>
      <family val="2"/>
    </font>
    <font>
      <sz val="10"/>
      <color rgb="FFFF0000"/>
      <name val="Gill Sans MT"/>
      <family val="2"/>
    </font>
    <font>
      <sz val="8"/>
      <name val="Gill Sans MT"/>
      <family val="2"/>
    </font>
    <font>
      <sz val="11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Gill Sans MT"/>
      <family val="2"/>
    </font>
    <font>
      <b/>
      <i/>
      <sz val="10"/>
      <color theme="6"/>
      <name val="Gill Sans MT"/>
      <family val="2"/>
    </font>
    <font>
      <sz val="10"/>
      <color rgb="FF000000"/>
      <name val="Gill Sans MT"/>
      <family val="2"/>
    </font>
    <font>
      <b/>
      <sz val="10"/>
      <color rgb="FFFA7D00"/>
      <name val="Calibri"/>
      <family val="2"/>
      <scheme val="minor"/>
    </font>
  </fonts>
  <fills count="6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57626E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  <bgColor indexed="64"/>
      </patternFill>
    </fill>
  </fills>
  <borders count="111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7"/>
      </bottom>
      <diagonal/>
    </border>
    <border>
      <left/>
      <right/>
      <top/>
      <bottom style="thick">
        <color theme="7" tint="0.39994506668294322"/>
      </bottom>
      <diagonal/>
    </border>
    <border>
      <left/>
      <right/>
      <top/>
      <bottom style="medium">
        <color theme="7" tint="0.599963377788628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medium">
        <color theme="7" tint="0.59996337778862885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6" applyNumberFormat="0" applyFill="0" applyAlignment="0" applyProtection="0"/>
    <xf numFmtId="0" fontId="3" fillId="0" borderId="7" applyNumberFormat="0" applyFill="0" applyAlignment="0" applyProtection="0"/>
    <xf numFmtId="0" fontId="4" fillId="0" borderId="8" applyNumberFormat="0" applyFill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8" fillId="0" borderId="0"/>
    <xf numFmtId="0" fontId="20" fillId="0" borderId="0"/>
    <xf numFmtId="9" fontId="20" fillId="0" borderId="0" applyFont="0" applyFill="0" applyBorder="0" applyAlignment="0" applyProtection="0"/>
    <xf numFmtId="0" fontId="21" fillId="0" borderId="10" applyNumberFormat="0" applyFill="0" applyAlignment="0" applyProtection="0"/>
    <xf numFmtId="0" fontId="4" fillId="0" borderId="11" applyNumberFormat="0" applyFill="0" applyAlignment="0" applyProtection="0"/>
    <xf numFmtId="0" fontId="4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0" fillId="0" borderId="0"/>
    <xf numFmtId="44" fontId="27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5" fillId="0" borderId="0"/>
    <xf numFmtId="0" fontId="8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0" fillId="5" borderId="0" applyNumberFormat="0" applyBorder="0" applyAlignment="0" applyProtection="0"/>
    <xf numFmtId="0" fontId="20" fillId="7" borderId="0" applyNumberFormat="0" applyBorder="0" applyAlignment="0" applyProtection="0"/>
    <xf numFmtId="0" fontId="20" fillId="9" borderId="0" applyNumberFormat="0" applyBorder="0" applyAlignment="0" applyProtection="0"/>
    <xf numFmtId="0" fontId="20" fillId="11" borderId="0" applyNumberFormat="0" applyBorder="0" applyAlignment="0" applyProtection="0"/>
    <xf numFmtId="0" fontId="20" fillId="13" borderId="0" applyNumberFormat="0" applyBorder="0" applyAlignment="0" applyProtection="0"/>
    <xf numFmtId="0" fontId="20" fillId="15" borderId="0" applyNumberFormat="0" applyBorder="0" applyAlignment="0" applyProtection="0"/>
    <xf numFmtId="0" fontId="20" fillId="6" borderId="0" applyNumberFormat="0" applyBorder="0" applyAlignment="0" applyProtection="0"/>
    <xf numFmtId="0" fontId="20" fillId="8" borderId="0" applyNumberFormat="0" applyBorder="0" applyAlignment="0" applyProtection="0"/>
    <xf numFmtId="0" fontId="20" fillId="10" borderId="0" applyNumberFormat="0" applyBorder="0" applyAlignment="0" applyProtection="0"/>
    <xf numFmtId="0" fontId="20" fillId="12" borderId="0" applyNumberFormat="0" applyBorder="0" applyAlignment="0" applyProtection="0"/>
    <xf numFmtId="0" fontId="20" fillId="14" borderId="0" applyNumberFormat="0" applyBorder="0" applyAlignment="0" applyProtection="0"/>
    <xf numFmtId="0" fontId="20" fillId="16" borderId="0" applyNumberFormat="0" applyBorder="0" applyAlignment="0" applyProtection="0"/>
    <xf numFmtId="0" fontId="31" fillId="18" borderId="0" applyProtection="0">
      <alignment vertical="center"/>
    </xf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32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32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32" fillId="27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32" fillId="27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32" fillId="20" borderId="0" applyNumberFormat="0" applyBorder="0" applyAlignment="0" applyProtection="0"/>
    <xf numFmtId="0" fontId="27" fillId="28" borderId="0" applyNumberFormat="0" applyBorder="0" applyAlignment="0" applyProtection="0"/>
    <xf numFmtId="0" fontId="27" fillId="23" borderId="0" applyNumberFormat="0" applyBorder="0" applyAlignment="0" applyProtection="0"/>
    <xf numFmtId="0" fontId="32" fillId="29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8" fillId="0" borderId="0" applyFont="0" applyFill="0" applyBorder="0" applyAlignment="0" applyProtection="0"/>
    <xf numFmtId="172" fontId="35" fillId="0" borderId="0">
      <protection locked="0"/>
    </xf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173" fontId="35" fillId="0" borderId="0">
      <protection locked="0"/>
    </xf>
    <xf numFmtId="174" fontId="36" fillId="0" borderId="0">
      <protection locked="0"/>
    </xf>
    <xf numFmtId="174" fontId="36" fillId="0" borderId="0">
      <protection locked="0"/>
    </xf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" fontId="34" fillId="0" borderId="0"/>
    <xf numFmtId="1" fontId="34" fillId="0" borderId="0"/>
    <xf numFmtId="1" fontId="34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8" fillId="0" borderId="0"/>
    <xf numFmtId="0" fontId="20" fillId="0" borderId="0"/>
    <xf numFmtId="0" fontId="8" fillId="0" borderId="0"/>
    <xf numFmtId="0" fontId="34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20" fillId="0" borderId="0"/>
    <xf numFmtId="0" fontId="3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7" fillId="0" borderId="0"/>
    <xf numFmtId="0" fontId="3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8" fillId="0" borderId="0"/>
    <xf numFmtId="0" fontId="34" fillId="0" borderId="0"/>
    <xf numFmtId="175" fontId="39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8" fillId="0" borderId="0"/>
    <xf numFmtId="0" fontId="20" fillId="4" borderId="9" applyNumberFormat="0" applyFon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8" fillId="0" borderId="0" applyFont="0" applyFill="0" applyBorder="0" applyAlignment="0" applyProtection="0"/>
    <xf numFmtId="4" fontId="41" fillId="33" borderId="14" applyNumberFormat="0" applyProtection="0">
      <alignment vertical="center"/>
    </xf>
    <xf numFmtId="4" fontId="42" fillId="33" borderId="14" applyNumberFormat="0" applyProtection="0">
      <alignment vertical="center"/>
    </xf>
    <xf numFmtId="4" fontId="41" fillId="33" borderId="14" applyNumberFormat="0" applyProtection="0">
      <alignment horizontal="left" vertical="center" indent="1"/>
    </xf>
    <xf numFmtId="0" fontId="41" fillId="33" borderId="14" applyNumberFormat="0" applyProtection="0">
      <alignment horizontal="left" vertical="top" indent="1"/>
    </xf>
    <xf numFmtId="4" fontId="41" fillId="34" borderId="0" applyNumberFormat="0" applyProtection="0">
      <alignment horizontal="left" vertical="center" indent="1"/>
    </xf>
    <xf numFmtId="4" fontId="43" fillId="35" borderId="14" applyNumberFormat="0" applyProtection="0">
      <alignment horizontal="right" vertical="center"/>
    </xf>
    <xf numFmtId="4" fontId="43" fillId="36" borderId="14" applyNumberFormat="0" applyProtection="0">
      <alignment horizontal="right" vertical="center"/>
    </xf>
    <xf numFmtId="4" fontId="43" fillId="37" borderId="14" applyNumberFormat="0" applyProtection="0">
      <alignment horizontal="right" vertical="center"/>
    </xf>
    <xf numFmtId="4" fontId="43" fillId="38" borderId="14" applyNumberFormat="0" applyProtection="0">
      <alignment horizontal="right" vertical="center"/>
    </xf>
    <xf numFmtId="4" fontId="43" fillId="39" borderId="14" applyNumberFormat="0" applyProtection="0">
      <alignment horizontal="right" vertical="center"/>
    </xf>
    <xf numFmtId="4" fontId="43" fillId="40" borderId="14" applyNumberFormat="0" applyProtection="0">
      <alignment horizontal="right" vertical="center"/>
    </xf>
    <xf numFmtId="4" fontId="43" fillId="41" borderId="14" applyNumberFormat="0" applyProtection="0">
      <alignment horizontal="right" vertical="center"/>
    </xf>
    <xf numFmtId="4" fontId="43" fillId="42" borderId="14" applyNumberFormat="0" applyProtection="0">
      <alignment horizontal="right" vertical="center"/>
    </xf>
    <xf numFmtId="4" fontId="43" fillId="43" borderId="14" applyNumberFormat="0" applyProtection="0">
      <alignment horizontal="right" vertical="center"/>
    </xf>
    <xf numFmtId="4" fontId="41" fillId="44" borderId="15" applyNumberFormat="0" applyProtection="0">
      <alignment horizontal="left" vertical="center" indent="1"/>
    </xf>
    <xf numFmtId="4" fontId="43" fillId="45" borderId="0" applyNumberFormat="0" applyProtection="0">
      <alignment horizontal="left" vertical="center" indent="1"/>
    </xf>
    <xf numFmtId="4" fontId="44" fillId="46" borderId="0" applyNumberFormat="0" applyProtection="0">
      <alignment horizontal="left" vertical="center" indent="1"/>
    </xf>
    <xf numFmtId="4" fontId="43" fillId="34" borderId="14" applyNumberFormat="0" applyProtection="0">
      <alignment horizontal="right" vertical="center"/>
    </xf>
    <xf numFmtId="4" fontId="43" fillId="45" borderId="0" applyNumberFormat="0" applyProtection="0">
      <alignment horizontal="left" vertical="center" indent="1"/>
    </xf>
    <xf numFmtId="4" fontId="43" fillId="34" borderId="0" applyNumberFormat="0" applyProtection="0">
      <alignment horizontal="left" vertical="center" indent="1"/>
    </xf>
    <xf numFmtId="0" fontId="8" fillId="46" borderId="14" applyNumberFormat="0" applyProtection="0">
      <alignment horizontal="left" vertical="center" indent="1"/>
    </xf>
    <xf numFmtId="0" fontId="8" fillId="46" borderId="14" applyNumberFormat="0" applyProtection="0">
      <alignment horizontal="left" vertical="top" indent="1"/>
    </xf>
    <xf numFmtId="0" fontId="8" fillId="34" borderId="14" applyNumberFormat="0" applyProtection="0">
      <alignment horizontal="left" vertical="center" indent="1"/>
    </xf>
    <xf numFmtId="0" fontId="8" fillId="34" borderId="14" applyNumberFormat="0" applyProtection="0">
      <alignment horizontal="left" vertical="top" indent="1"/>
    </xf>
    <xf numFmtId="0" fontId="8" fillId="47" borderId="14" applyNumberFormat="0" applyProtection="0">
      <alignment horizontal="left" vertical="center" indent="1"/>
    </xf>
    <xf numFmtId="0" fontId="8" fillId="47" borderId="14" applyNumberFormat="0" applyProtection="0">
      <alignment horizontal="left" vertical="top" indent="1"/>
    </xf>
    <xf numFmtId="0" fontId="8" fillId="45" borderId="14" applyNumberFormat="0" applyProtection="0">
      <alignment horizontal="left" vertical="center" indent="1"/>
    </xf>
    <xf numFmtId="0" fontId="8" fillId="45" borderId="14" applyNumberFormat="0" applyProtection="0">
      <alignment horizontal="left" vertical="top" indent="1"/>
    </xf>
    <xf numFmtId="0" fontId="8" fillId="48" borderId="13" applyNumberFormat="0">
      <protection locked="0"/>
    </xf>
    <xf numFmtId="0" fontId="45" fillId="46" borderId="16" applyBorder="0"/>
    <xf numFmtId="4" fontId="43" fillId="49" borderId="14" applyNumberFormat="0" applyProtection="0">
      <alignment vertical="center"/>
    </xf>
    <xf numFmtId="4" fontId="46" fillId="49" borderId="14" applyNumberFormat="0" applyProtection="0">
      <alignment vertical="center"/>
    </xf>
    <xf numFmtId="4" fontId="43" fillId="49" borderId="14" applyNumberFormat="0" applyProtection="0">
      <alignment horizontal="left" vertical="center" indent="1"/>
    </xf>
    <xf numFmtId="0" fontId="43" fillId="49" borderId="14" applyNumberFormat="0" applyProtection="0">
      <alignment horizontal="left" vertical="top" indent="1"/>
    </xf>
    <xf numFmtId="4" fontId="43" fillId="45" borderId="14" applyNumberFormat="0" applyProtection="0">
      <alignment horizontal="right" vertical="center"/>
    </xf>
    <xf numFmtId="4" fontId="46" fillId="45" borderId="14" applyNumberFormat="0" applyProtection="0">
      <alignment horizontal="right" vertical="center"/>
    </xf>
    <xf numFmtId="4" fontId="43" fillId="34" borderId="14" applyNumberFormat="0" applyProtection="0">
      <alignment horizontal="left" vertical="center" indent="1"/>
    </xf>
    <xf numFmtId="0" fontId="43" fillId="34" borderId="14" applyNumberFormat="0" applyProtection="0">
      <alignment horizontal="left" vertical="top" indent="1"/>
    </xf>
    <xf numFmtId="4" fontId="47" fillId="50" borderId="0" applyNumberFormat="0" applyProtection="0">
      <alignment horizontal="left" vertical="center" indent="1"/>
    </xf>
    <xf numFmtId="0" fontId="34" fillId="51" borderId="13"/>
    <xf numFmtId="4" fontId="48" fillId="45" borderId="14" applyNumberFormat="0" applyProtection="0">
      <alignment horizontal="right" vertical="center"/>
    </xf>
    <xf numFmtId="0" fontId="49" fillId="0" borderId="0" applyNumberFormat="0" applyFill="0" applyBorder="0" applyAlignment="0" applyProtection="0"/>
    <xf numFmtId="0" fontId="50" fillId="0" borderId="0">
      <alignment horizontal="left"/>
    </xf>
    <xf numFmtId="176" fontId="30" fillId="0" borderId="0">
      <alignment horizontal="center"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52" borderId="0" applyNumberFormat="0" applyBorder="0" applyAlignment="0" applyProtection="0"/>
    <xf numFmtId="0" fontId="32" fillId="36" borderId="0" applyNumberFormat="0" applyBorder="0" applyAlignment="0" applyProtection="0"/>
    <xf numFmtId="0" fontId="32" fillId="43" borderId="0" applyNumberFormat="0" applyBorder="0" applyAlignment="0" applyProtection="0"/>
    <xf numFmtId="0" fontId="32" fillId="53" borderId="0" applyNumberFormat="0" applyBorder="0" applyAlignment="0" applyProtection="0"/>
    <xf numFmtId="0" fontId="32" fillId="54" borderId="0" applyNumberFormat="0" applyBorder="0" applyAlignment="0" applyProtection="0"/>
    <xf numFmtId="0" fontId="32" fillId="39" borderId="0" applyNumberFormat="0" applyBorder="0" applyAlignment="0" applyProtection="0"/>
    <xf numFmtId="0" fontId="32" fillId="55" borderId="0" applyNumberFormat="0" applyBorder="0" applyAlignment="0" applyProtection="0"/>
    <xf numFmtId="0" fontId="32" fillId="37" borderId="0" applyNumberFormat="0" applyBorder="0" applyAlignment="0" applyProtection="0"/>
    <xf numFmtId="0" fontId="32" fillId="41" borderId="0" applyNumberFormat="0" applyBorder="0" applyAlignment="0" applyProtection="0"/>
    <xf numFmtId="0" fontId="32" fillId="53" borderId="0" applyNumberFormat="0" applyBorder="0" applyAlignment="0" applyProtection="0"/>
    <xf numFmtId="0" fontId="32" fillId="54" borderId="0" applyNumberFormat="0" applyBorder="0" applyAlignment="0" applyProtection="0"/>
    <xf numFmtId="0" fontId="32" fillId="40" borderId="0" applyNumberFormat="0" applyBorder="0" applyAlignment="0" applyProtection="0"/>
    <xf numFmtId="0" fontId="51" fillId="35" borderId="0" applyNumberFormat="0" applyBorder="0" applyAlignment="0" applyProtection="0"/>
    <xf numFmtId="0" fontId="52" fillId="56" borderId="17" applyNumberFormat="0" applyAlignment="0" applyProtection="0"/>
    <xf numFmtId="0" fontId="52" fillId="56" borderId="17" applyNumberFormat="0" applyAlignment="0" applyProtection="0"/>
    <xf numFmtId="0" fontId="53" fillId="57" borderId="18" applyNumberFormat="0" applyAlignment="0" applyProtection="0"/>
    <xf numFmtId="0" fontId="54" fillId="0" borderId="0" applyNumberFormat="0" applyFill="0" applyBorder="0" applyAlignment="0" applyProtection="0"/>
    <xf numFmtId="0" fontId="55" fillId="58" borderId="0" applyNumberFormat="0" applyBorder="0" applyAlignment="0" applyProtection="0"/>
    <xf numFmtId="0" fontId="56" fillId="0" borderId="19" applyNumberFormat="0" applyFill="0" applyAlignment="0" applyProtection="0"/>
    <xf numFmtId="0" fontId="57" fillId="0" borderId="20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0" applyNumberFormat="0" applyFill="0" applyBorder="0" applyAlignment="0" applyProtection="0"/>
    <xf numFmtId="0" fontId="59" fillId="59" borderId="17" applyNumberFormat="0" applyAlignment="0" applyProtection="0"/>
    <xf numFmtId="0" fontId="59" fillId="59" borderId="17" applyNumberFormat="0" applyAlignment="0" applyProtection="0"/>
    <xf numFmtId="0" fontId="60" fillId="0" borderId="22" applyNumberFormat="0" applyFill="0" applyAlignment="0" applyProtection="0"/>
    <xf numFmtId="0" fontId="61" fillId="33" borderId="0" applyNumberFormat="0" applyBorder="0" applyAlignment="0" applyProtection="0"/>
    <xf numFmtId="0" fontId="27" fillId="49" borderId="23" applyNumberFormat="0" applyFont="0" applyAlignment="0" applyProtection="0"/>
    <xf numFmtId="0" fontId="62" fillId="56" borderId="24" applyNumberFormat="0" applyAlignment="0" applyProtection="0"/>
    <xf numFmtId="0" fontId="62" fillId="56" borderId="24" applyNumberFormat="0" applyAlignment="0" applyProtection="0"/>
    <xf numFmtId="0" fontId="63" fillId="0" borderId="0" applyNumberFormat="0" applyFill="0" applyBorder="0" applyAlignment="0" applyProtection="0"/>
    <xf numFmtId="0" fontId="28" fillId="0" borderId="25" applyNumberFormat="0" applyFill="0" applyAlignment="0" applyProtection="0"/>
    <xf numFmtId="0" fontId="28" fillId="0" borderId="25" applyNumberFormat="0" applyFill="0" applyAlignment="0" applyProtection="0"/>
    <xf numFmtId="0" fontId="64" fillId="0" borderId="0" applyNumberFormat="0" applyFill="0" applyBorder="0" applyAlignment="0" applyProtection="0"/>
    <xf numFmtId="0" fontId="65" fillId="0" borderId="0"/>
    <xf numFmtId="44" fontId="65" fillId="0" borderId="0" applyFont="0" applyFill="0" applyBorder="0" applyAlignment="0" applyProtection="0"/>
    <xf numFmtId="0" fontId="66" fillId="3" borderId="0" applyNumberFormat="0" applyBorder="0" applyAlignment="0" applyProtection="0"/>
    <xf numFmtId="0" fontId="8" fillId="45" borderId="41" applyNumberFormat="0" applyProtection="0">
      <alignment horizontal="left" vertical="center" indent="1"/>
    </xf>
    <xf numFmtId="0" fontId="8" fillId="47" borderId="41" applyNumberFormat="0" applyProtection="0">
      <alignment horizontal="left" vertical="top" indent="1"/>
    </xf>
    <xf numFmtId="4" fontId="42" fillId="33" borderId="49" applyNumberFormat="0" applyProtection="0">
      <alignment vertical="center"/>
    </xf>
    <xf numFmtId="4" fontId="46" fillId="45" borderId="49" applyNumberFormat="0" applyProtection="0">
      <alignment horizontal="right" vertical="center"/>
    </xf>
    <xf numFmtId="4" fontId="43" fillId="45" borderId="49" applyNumberFormat="0" applyProtection="0">
      <alignment horizontal="right" vertical="center"/>
    </xf>
    <xf numFmtId="0" fontId="28" fillId="0" borderId="56" applyNumberFormat="0" applyFill="0" applyAlignment="0" applyProtection="0"/>
    <xf numFmtId="4" fontId="43" fillId="45" borderId="60" applyNumberFormat="0" applyProtection="0">
      <alignment horizontal="right" vertical="center"/>
    </xf>
    <xf numFmtId="0" fontId="8" fillId="34" borderId="41" applyNumberFormat="0" applyProtection="0">
      <alignment horizontal="left" vertical="top" indent="1"/>
    </xf>
    <xf numFmtId="0" fontId="28" fillId="0" borderId="56" applyNumberFormat="0" applyFill="0" applyAlignment="0" applyProtection="0"/>
    <xf numFmtId="0" fontId="8" fillId="47" borderId="41" applyNumberFormat="0" applyProtection="0">
      <alignment horizontal="left" vertical="center" indent="1"/>
    </xf>
    <xf numFmtId="0" fontId="28" fillId="0" borderId="40" applyNumberFormat="0" applyFill="0" applyAlignment="0" applyProtection="0"/>
    <xf numFmtId="0" fontId="28" fillId="0" borderId="40" applyNumberFormat="0" applyFill="0" applyAlignment="0" applyProtection="0"/>
    <xf numFmtId="0" fontId="62" fillId="56" borderId="39" applyNumberFormat="0" applyAlignment="0" applyProtection="0"/>
    <xf numFmtId="0" fontId="62" fillId="56" borderId="39" applyNumberFormat="0" applyAlignment="0" applyProtection="0"/>
    <xf numFmtId="0" fontId="27" fillId="49" borderId="66" applyNumberFormat="0" applyFont="0" applyAlignment="0" applyProtection="0"/>
    <xf numFmtId="0" fontId="56" fillId="0" borderId="37" applyNumberFormat="0" applyFill="0" applyAlignment="0" applyProtection="0"/>
    <xf numFmtId="4" fontId="43" fillId="37" borderId="41" applyNumberFormat="0" applyProtection="0">
      <alignment horizontal="right" vertical="center"/>
    </xf>
    <xf numFmtId="0" fontId="43" fillId="34" borderId="41" applyNumberFormat="0" applyProtection="0">
      <alignment horizontal="left" vertical="top" indent="1"/>
    </xf>
    <xf numFmtId="4" fontId="48" fillId="45" borderId="41" applyNumberFormat="0" applyProtection="0">
      <alignment horizontal="right" vertical="center"/>
    </xf>
    <xf numFmtId="0" fontId="59" fillId="59" borderId="51" applyNumberFormat="0" applyAlignment="0" applyProtection="0"/>
    <xf numFmtId="4" fontId="43" fillId="34" borderId="49" applyNumberFormat="0" applyProtection="0">
      <alignment horizontal="left" vertical="center" indent="1"/>
    </xf>
    <xf numFmtId="0" fontId="8" fillId="34" borderId="49" applyNumberFormat="0" applyProtection="0">
      <alignment horizontal="left" vertical="top" indent="1"/>
    </xf>
    <xf numFmtId="4" fontId="43" fillId="36" borderId="49" applyNumberFormat="0" applyProtection="0">
      <alignment horizontal="right" vertical="center"/>
    </xf>
    <xf numFmtId="4" fontId="43" fillId="35" borderId="49" applyNumberFormat="0" applyProtection="0">
      <alignment horizontal="right" vertical="center"/>
    </xf>
    <xf numFmtId="0" fontId="28" fillId="0" borderId="68" applyNumberFormat="0" applyFill="0" applyAlignment="0" applyProtection="0"/>
    <xf numFmtId="0" fontId="43" fillId="49" borderId="60" applyNumberFormat="0" applyProtection="0">
      <alignment horizontal="left" vertical="top" indent="1"/>
    </xf>
    <xf numFmtId="4" fontId="46" fillId="49" borderId="60" applyNumberFormat="0" applyProtection="0">
      <alignment vertical="center"/>
    </xf>
    <xf numFmtId="0" fontId="8" fillId="45" borderId="60" applyNumberFormat="0" applyProtection="0">
      <alignment horizontal="left" vertical="top" indent="1"/>
    </xf>
    <xf numFmtId="4" fontId="41" fillId="33" borderId="41" applyNumberFormat="0" applyProtection="0">
      <alignment horizontal="left" vertical="center" indent="1"/>
    </xf>
    <xf numFmtId="4" fontId="43" fillId="38" borderId="41" applyNumberFormat="0" applyProtection="0">
      <alignment horizontal="right" vertical="center"/>
    </xf>
    <xf numFmtId="4" fontId="43" fillId="40" borderId="41" applyNumberFormat="0" applyProtection="0">
      <alignment horizontal="right" vertical="center"/>
    </xf>
    <xf numFmtId="4" fontId="43" fillId="42" borderId="41" applyNumberFormat="0" applyProtection="0">
      <alignment horizontal="right" vertical="center"/>
    </xf>
    <xf numFmtId="0" fontId="8" fillId="45" borderId="41" applyNumberFormat="0" applyProtection="0">
      <alignment horizontal="left" vertical="top" indent="1"/>
    </xf>
    <xf numFmtId="4" fontId="46" fillId="49" borderId="41" applyNumberFormat="0" applyProtection="0">
      <alignment vertical="center"/>
    </xf>
    <xf numFmtId="4" fontId="43" fillId="49" borderId="41" applyNumberFormat="0" applyProtection="0">
      <alignment horizontal="left" vertical="center" indent="1"/>
    </xf>
    <xf numFmtId="0" fontId="43" fillId="49" borderId="41" applyNumberFormat="0" applyProtection="0">
      <alignment horizontal="left" vertical="top" indent="1"/>
    </xf>
    <xf numFmtId="0" fontId="59" fillId="59" borderId="63" applyNumberFormat="0" applyAlignment="0" applyProtection="0"/>
    <xf numFmtId="4" fontId="43" fillId="35" borderId="60" applyNumberFormat="0" applyProtection="0">
      <alignment horizontal="right" vertical="center"/>
    </xf>
    <xf numFmtId="0" fontId="52" fillId="56" borderId="43" applyNumberFormat="0" applyAlignment="0" applyProtection="0"/>
    <xf numFmtId="0" fontId="52" fillId="56" borderId="43" applyNumberFormat="0" applyAlignment="0" applyProtection="0"/>
    <xf numFmtId="0" fontId="43" fillId="34" borderId="49" applyNumberFormat="0" applyProtection="0">
      <alignment horizontal="left" vertical="top" indent="1"/>
    </xf>
    <xf numFmtId="4" fontId="43" fillId="45" borderId="41" applyNumberFormat="0" applyProtection="0">
      <alignment horizontal="right" vertical="center"/>
    </xf>
    <xf numFmtId="4" fontId="43" fillId="37" borderId="49" applyNumberFormat="0" applyProtection="0">
      <alignment horizontal="right" vertical="center"/>
    </xf>
    <xf numFmtId="4" fontId="41" fillId="33" borderId="41" applyNumberFormat="0" applyProtection="0">
      <alignment vertical="center"/>
    </xf>
    <xf numFmtId="4" fontId="43" fillId="36" borderId="60" applyNumberFormat="0" applyProtection="0">
      <alignment horizontal="right" vertical="center"/>
    </xf>
    <xf numFmtId="0" fontId="52" fillId="56" borderId="51" applyNumberFormat="0" applyAlignment="0" applyProtection="0"/>
    <xf numFmtId="4" fontId="43" fillId="38" borderId="60" applyNumberFormat="0" applyProtection="0">
      <alignment horizontal="right" vertical="center"/>
    </xf>
    <xf numFmtId="0" fontId="27" fillId="49" borderId="54" applyNumberFormat="0" applyFont="0" applyAlignment="0" applyProtection="0"/>
    <xf numFmtId="4" fontId="43" fillId="41" borderId="60" applyNumberFormat="0" applyProtection="0">
      <alignment horizontal="right" vertical="center"/>
    </xf>
    <xf numFmtId="4" fontId="41" fillId="33" borderId="49" applyNumberFormat="0" applyProtection="0">
      <alignment horizontal="left" vertical="center" indent="1"/>
    </xf>
    <xf numFmtId="0" fontId="8" fillId="46" borderId="41" applyNumberFormat="0" applyProtection="0">
      <alignment horizontal="left" vertical="top" indent="1"/>
    </xf>
    <xf numFmtId="0" fontId="8" fillId="34" borderId="41" applyNumberFormat="0" applyProtection="0">
      <alignment horizontal="left" vertical="center" indent="1"/>
    </xf>
    <xf numFmtId="4" fontId="42" fillId="33" borderId="41" applyNumberFormat="0" applyProtection="0">
      <alignment vertical="center"/>
    </xf>
    <xf numFmtId="4" fontId="41" fillId="33" borderId="26" applyNumberFormat="0" applyProtection="0">
      <alignment vertical="center"/>
    </xf>
    <xf numFmtId="4" fontId="42" fillId="33" borderId="26" applyNumberFormat="0" applyProtection="0">
      <alignment vertical="center"/>
    </xf>
    <xf numFmtId="4" fontId="41" fillId="33" borderId="26" applyNumberFormat="0" applyProtection="0">
      <alignment horizontal="left" vertical="center" indent="1"/>
    </xf>
    <xf numFmtId="0" fontId="41" fillId="33" borderId="26" applyNumberFormat="0" applyProtection="0">
      <alignment horizontal="left" vertical="top" indent="1"/>
    </xf>
    <xf numFmtId="0" fontId="8" fillId="46" borderId="41" applyNumberFormat="0" applyProtection="0">
      <alignment horizontal="left" vertical="center" indent="1"/>
    </xf>
    <xf numFmtId="4" fontId="43" fillId="35" borderId="26" applyNumberFormat="0" applyProtection="0">
      <alignment horizontal="right" vertical="center"/>
    </xf>
    <xf numFmtId="4" fontId="43" fillId="36" borderId="26" applyNumberFormat="0" applyProtection="0">
      <alignment horizontal="right" vertical="center"/>
    </xf>
    <xf numFmtId="4" fontId="43" fillId="37" borderId="26" applyNumberFormat="0" applyProtection="0">
      <alignment horizontal="right" vertical="center"/>
    </xf>
    <xf numFmtId="4" fontId="43" fillId="38" borderId="26" applyNumberFormat="0" applyProtection="0">
      <alignment horizontal="right" vertical="center"/>
    </xf>
    <xf numFmtId="4" fontId="43" fillId="39" borderId="26" applyNumberFormat="0" applyProtection="0">
      <alignment horizontal="right" vertical="center"/>
    </xf>
    <xf numFmtId="4" fontId="43" fillId="40" borderId="26" applyNumberFormat="0" applyProtection="0">
      <alignment horizontal="right" vertical="center"/>
    </xf>
    <xf numFmtId="4" fontId="43" fillId="41" borderId="26" applyNumberFormat="0" applyProtection="0">
      <alignment horizontal="right" vertical="center"/>
    </xf>
    <xf numFmtId="4" fontId="43" fillId="42" borderId="26" applyNumberFormat="0" applyProtection="0">
      <alignment horizontal="right" vertical="center"/>
    </xf>
    <xf numFmtId="4" fontId="43" fillId="43" borderId="26" applyNumberFormat="0" applyProtection="0">
      <alignment horizontal="right" vertical="center"/>
    </xf>
    <xf numFmtId="0" fontId="43" fillId="49" borderId="49" applyNumberFormat="0" applyProtection="0">
      <alignment horizontal="left" vertical="top" indent="1"/>
    </xf>
    <xf numFmtId="4" fontId="43" fillId="34" borderId="26" applyNumberFormat="0" applyProtection="0">
      <alignment horizontal="right" vertical="center"/>
    </xf>
    <xf numFmtId="0" fontId="41" fillId="33" borderId="41" applyNumberFormat="0" applyProtection="0">
      <alignment horizontal="left" vertical="top" indent="1"/>
    </xf>
    <xf numFmtId="0" fontId="8" fillId="46" borderId="26" applyNumberFormat="0" applyProtection="0">
      <alignment horizontal="left" vertical="center" indent="1"/>
    </xf>
    <xf numFmtId="0" fontId="8" fillId="46" borderId="26" applyNumberFormat="0" applyProtection="0">
      <alignment horizontal="left" vertical="top" indent="1"/>
    </xf>
    <xf numFmtId="0" fontId="8" fillId="34" borderId="26" applyNumberFormat="0" applyProtection="0">
      <alignment horizontal="left" vertical="center" indent="1"/>
    </xf>
    <xf numFmtId="0" fontId="8" fillId="34" borderId="26" applyNumberFormat="0" applyProtection="0">
      <alignment horizontal="left" vertical="top" indent="1"/>
    </xf>
    <xf numFmtId="0" fontId="8" fillId="47" borderId="26" applyNumberFormat="0" applyProtection="0">
      <alignment horizontal="left" vertical="center" indent="1"/>
    </xf>
    <xf numFmtId="0" fontId="8" fillId="47" borderId="26" applyNumberFormat="0" applyProtection="0">
      <alignment horizontal="left" vertical="top" indent="1"/>
    </xf>
    <xf numFmtId="0" fontId="8" fillId="45" borderId="26" applyNumberFormat="0" applyProtection="0">
      <alignment horizontal="left" vertical="center" indent="1"/>
    </xf>
    <xf numFmtId="0" fontId="8" fillId="45" borderId="26" applyNumberFormat="0" applyProtection="0">
      <alignment horizontal="left" vertical="top" indent="1"/>
    </xf>
    <xf numFmtId="0" fontId="45" fillId="46" borderId="42" applyBorder="0"/>
    <xf numFmtId="0" fontId="45" fillId="46" borderId="27" applyBorder="0"/>
    <xf numFmtId="4" fontId="43" fillId="49" borderId="26" applyNumberFormat="0" applyProtection="0">
      <alignment vertical="center"/>
    </xf>
    <xf numFmtId="4" fontId="46" fillId="49" borderId="26" applyNumberFormat="0" applyProtection="0">
      <alignment vertical="center"/>
    </xf>
    <xf numFmtId="4" fontId="43" fillId="49" borderId="26" applyNumberFormat="0" applyProtection="0">
      <alignment horizontal="left" vertical="center" indent="1"/>
    </xf>
    <xf numFmtId="0" fontId="43" fillId="49" borderId="26" applyNumberFormat="0" applyProtection="0">
      <alignment horizontal="left" vertical="top" indent="1"/>
    </xf>
    <xf numFmtId="4" fontId="43" fillId="45" borderId="26" applyNumberFormat="0" applyProtection="0">
      <alignment horizontal="right" vertical="center"/>
    </xf>
    <xf numFmtId="4" fontId="46" fillId="45" borderId="26" applyNumberFormat="0" applyProtection="0">
      <alignment horizontal="right" vertical="center"/>
    </xf>
    <xf numFmtId="4" fontId="43" fillId="34" borderId="26" applyNumberFormat="0" applyProtection="0">
      <alignment horizontal="left" vertical="center" indent="1"/>
    </xf>
    <xf numFmtId="0" fontId="43" fillId="34" borderId="26" applyNumberFormat="0" applyProtection="0">
      <alignment horizontal="left" vertical="top" indent="1"/>
    </xf>
    <xf numFmtId="4" fontId="41" fillId="33" borderId="60" applyNumberFormat="0" applyProtection="0">
      <alignment horizontal="left" vertical="center" indent="1"/>
    </xf>
    <xf numFmtId="4" fontId="43" fillId="49" borderId="49" applyNumberFormat="0" applyProtection="0">
      <alignment horizontal="left" vertical="center" indent="1"/>
    </xf>
    <xf numFmtId="4" fontId="48" fillId="45" borderId="26" applyNumberFormat="0" applyProtection="0">
      <alignment horizontal="right" vertical="center"/>
    </xf>
    <xf numFmtId="4" fontId="46" fillId="45" borderId="41" applyNumberFormat="0" applyProtection="0">
      <alignment horizontal="right" vertical="center"/>
    </xf>
    <xf numFmtId="4" fontId="43" fillId="34" borderId="41" applyNumberFormat="0" applyProtection="0">
      <alignment horizontal="right" vertical="center"/>
    </xf>
    <xf numFmtId="0" fontId="52" fillId="56" borderId="63" applyNumberFormat="0" applyAlignment="0" applyProtection="0"/>
    <xf numFmtId="0" fontId="45" fillId="46" borderId="62" applyBorder="0"/>
    <xf numFmtId="4" fontId="43" fillId="35" borderId="41" applyNumberFormat="0" applyProtection="0">
      <alignment horizontal="right" vertical="center"/>
    </xf>
    <xf numFmtId="4" fontId="43" fillId="36" borderId="41" applyNumberFormat="0" applyProtection="0">
      <alignment horizontal="right" vertical="center"/>
    </xf>
    <xf numFmtId="0" fontId="57" fillId="0" borderId="38" applyNumberFormat="0" applyFill="0" applyAlignment="0" applyProtection="0"/>
    <xf numFmtId="4" fontId="43" fillId="41" borderId="41" applyNumberFormat="0" applyProtection="0">
      <alignment horizontal="right" vertical="center"/>
    </xf>
    <xf numFmtId="4" fontId="43" fillId="43" borderId="41" applyNumberFormat="0" applyProtection="0">
      <alignment horizontal="right" vertical="center"/>
    </xf>
    <xf numFmtId="0" fontId="8" fillId="47" borderId="49" applyNumberFormat="0" applyProtection="0">
      <alignment horizontal="left" vertical="top" indent="1"/>
    </xf>
    <xf numFmtId="0" fontId="62" fillId="56" borderId="55" applyNumberFormat="0" applyAlignment="0" applyProtection="0"/>
    <xf numFmtId="4" fontId="43" fillId="39" borderId="41" applyNumberFormat="0" applyProtection="0">
      <alignment horizontal="right" vertical="center"/>
    </xf>
    <xf numFmtId="0" fontId="52" fillId="56" borderId="28" applyNumberFormat="0" applyAlignment="0" applyProtection="0"/>
    <xf numFmtId="0" fontId="52" fillId="56" borderId="28" applyNumberFormat="0" applyAlignment="0" applyProtection="0"/>
    <xf numFmtId="0" fontId="62" fillId="56" borderId="67" applyNumberFormat="0" applyAlignment="0" applyProtection="0"/>
    <xf numFmtId="4" fontId="43" fillId="37" borderId="60" applyNumberFormat="0" applyProtection="0">
      <alignment horizontal="right" vertical="center"/>
    </xf>
    <xf numFmtId="0" fontId="56" fillId="0" borderId="29" applyNumberFormat="0" applyFill="0" applyAlignment="0" applyProtection="0"/>
    <xf numFmtId="0" fontId="57" fillId="0" borderId="30" applyNumberFormat="0" applyFill="0" applyAlignment="0" applyProtection="0"/>
    <xf numFmtId="0" fontId="52" fillId="56" borderId="63" applyNumberFormat="0" applyAlignment="0" applyProtection="0"/>
    <xf numFmtId="0" fontId="59" fillId="59" borderId="28" applyNumberFormat="0" applyAlignment="0" applyProtection="0"/>
    <xf numFmtId="0" fontId="59" fillId="59" borderId="28" applyNumberFormat="0" applyAlignment="0" applyProtection="0"/>
    <xf numFmtId="0" fontId="43" fillId="34" borderId="60" applyNumberFormat="0" applyProtection="0">
      <alignment horizontal="left" vertical="top" indent="1"/>
    </xf>
    <xf numFmtId="0" fontId="27" fillId="49" borderId="31" applyNumberFormat="0" applyFont="0" applyAlignment="0" applyProtection="0"/>
    <xf numFmtId="0" fontId="62" fillId="56" borderId="32" applyNumberFormat="0" applyAlignment="0" applyProtection="0"/>
    <xf numFmtId="0" fontId="62" fillId="56" borderId="32" applyNumberFormat="0" applyAlignment="0" applyProtection="0"/>
    <xf numFmtId="4" fontId="46" fillId="49" borderId="49" applyNumberFormat="0" applyProtection="0">
      <alignment vertical="center"/>
    </xf>
    <xf numFmtId="0" fontId="28" fillId="0" borderId="33" applyNumberFormat="0" applyFill="0" applyAlignment="0" applyProtection="0"/>
    <xf numFmtId="0" fontId="28" fillId="0" borderId="33" applyNumberFormat="0" applyFill="0" applyAlignment="0" applyProtection="0"/>
    <xf numFmtId="0" fontId="52" fillId="56" borderId="51" applyNumberFormat="0" applyAlignment="0" applyProtection="0"/>
    <xf numFmtId="4" fontId="43" fillId="40" borderId="49" applyNumberFormat="0" applyProtection="0">
      <alignment horizontal="right" vertical="center"/>
    </xf>
    <xf numFmtId="4" fontId="43" fillId="34" borderId="49" applyNumberFormat="0" applyProtection="0">
      <alignment horizontal="right" vertical="center"/>
    </xf>
    <xf numFmtId="4" fontId="48" fillId="45" borderId="49" applyNumberFormat="0" applyProtection="0">
      <alignment horizontal="right" vertical="center"/>
    </xf>
    <xf numFmtId="0" fontId="62" fillId="56" borderId="55" applyNumberFormat="0" applyAlignment="0" applyProtection="0"/>
    <xf numFmtId="4" fontId="43" fillId="49" borderId="60" applyNumberFormat="0" applyProtection="0">
      <alignment vertical="center"/>
    </xf>
    <xf numFmtId="0" fontId="56" fillId="0" borderId="34" applyNumberFormat="0" applyFill="0" applyAlignment="0" applyProtection="0"/>
    <xf numFmtId="0" fontId="57" fillId="0" borderId="35" applyNumberFormat="0" applyFill="0" applyAlignment="0" applyProtection="0"/>
    <xf numFmtId="0" fontId="58" fillId="0" borderId="36" applyNumberFormat="0" applyFill="0" applyAlignment="0" applyProtection="0"/>
    <xf numFmtId="0" fontId="58" fillId="0" borderId="36" applyNumberFormat="0" applyFill="0" applyAlignment="0" applyProtection="0"/>
    <xf numFmtId="0" fontId="41" fillId="33" borderId="60" applyNumberFormat="0" applyProtection="0">
      <alignment horizontal="left" vertical="top" indent="1"/>
    </xf>
    <xf numFmtId="4" fontId="42" fillId="33" borderId="60" applyNumberFormat="0" applyProtection="0">
      <alignment vertical="center"/>
    </xf>
    <xf numFmtId="0" fontId="62" fillId="56" borderId="67" applyNumberFormat="0" applyAlignment="0" applyProtection="0"/>
    <xf numFmtId="4" fontId="43" fillId="49" borderId="41" applyNumberFormat="0" applyProtection="0">
      <alignment vertical="center"/>
    </xf>
    <xf numFmtId="0" fontId="28" fillId="0" borderId="68" applyNumberFormat="0" applyFill="0" applyAlignment="0" applyProtection="0"/>
    <xf numFmtId="4" fontId="43" fillId="34" borderId="41" applyNumberFormat="0" applyProtection="0">
      <alignment horizontal="left" vertical="center" indent="1"/>
    </xf>
    <xf numFmtId="4" fontId="43" fillId="49" borderId="49" applyNumberFormat="0" applyProtection="0">
      <alignment vertical="center"/>
    </xf>
    <xf numFmtId="4" fontId="43" fillId="34" borderId="60" applyNumberFormat="0" applyProtection="0">
      <alignment horizontal="right" vertical="center"/>
    </xf>
    <xf numFmtId="0" fontId="8" fillId="45" borderId="49" applyNumberFormat="0" applyProtection="0">
      <alignment horizontal="left" vertical="top" indent="1"/>
    </xf>
    <xf numFmtId="0" fontId="8" fillId="45" borderId="49" applyNumberFormat="0" applyProtection="0">
      <alignment horizontal="left" vertical="center" indent="1"/>
    </xf>
    <xf numFmtId="0" fontId="59" fillId="59" borderId="43" applyNumberFormat="0" applyAlignment="0" applyProtection="0"/>
    <xf numFmtId="0" fontId="59" fillId="59" borderId="43" applyNumberFormat="0" applyAlignment="0" applyProtection="0"/>
    <xf numFmtId="4" fontId="43" fillId="41" borderId="49" applyNumberFormat="0" applyProtection="0">
      <alignment horizontal="right" vertical="center"/>
    </xf>
    <xf numFmtId="4" fontId="41" fillId="33" borderId="49" applyNumberFormat="0" applyProtection="0">
      <alignment vertical="center"/>
    </xf>
    <xf numFmtId="0" fontId="27" fillId="49" borderId="44" applyNumberFormat="0" applyFont="0" applyAlignment="0" applyProtection="0"/>
    <xf numFmtId="0" fontId="41" fillId="33" borderId="49" applyNumberFormat="0" applyProtection="0">
      <alignment horizontal="left" vertical="top" indent="1"/>
    </xf>
    <xf numFmtId="4" fontId="43" fillId="42" borderId="60" applyNumberFormat="0" applyProtection="0">
      <alignment horizontal="right" vertical="center"/>
    </xf>
    <xf numFmtId="0" fontId="8" fillId="34" borderId="60" applyNumberFormat="0" applyProtection="0">
      <alignment horizontal="left" vertical="center" indent="1"/>
    </xf>
    <xf numFmtId="0" fontId="8" fillId="47" borderId="60" applyNumberFormat="0" applyProtection="0">
      <alignment horizontal="left" vertical="top" indent="1"/>
    </xf>
    <xf numFmtId="0" fontId="8" fillId="45" borderId="60" applyNumberFormat="0" applyProtection="0">
      <alignment horizontal="left" vertical="center" indent="1"/>
    </xf>
    <xf numFmtId="0" fontId="8" fillId="47" borderId="60" applyNumberFormat="0" applyProtection="0">
      <alignment horizontal="left" vertical="center" indent="1"/>
    </xf>
    <xf numFmtId="0" fontId="56" fillId="0" borderId="45" applyNumberFormat="0" applyFill="0" applyAlignment="0" applyProtection="0"/>
    <xf numFmtId="0" fontId="57" fillId="0" borderId="46" applyNumberFormat="0" applyFill="0" applyAlignment="0" applyProtection="0"/>
    <xf numFmtId="4" fontId="43" fillId="49" borderId="60" applyNumberFormat="0" applyProtection="0">
      <alignment horizontal="left" vertical="center" indent="1"/>
    </xf>
    <xf numFmtId="4" fontId="46" fillId="45" borderId="60" applyNumberFormat="0" applyProtection="0">
      <alignment horizontal="right" vertical="center"/>
    </xf>
    <xf numFmtId="4" fontId="43" fillId="34" borderId="60" applyNumberFormat="0" applyProtection="0">
      <alignment horizontal="left" vertical="center" indent="1"/>
    </xf>
    <xf numFmtId="4" fontId="48" fillId="45" borderId="60" applyNumberFormat="0" applyProtection="0">
      <alignment horizontal="right" vertical="center"/>
    </xf>
    <xf numFmtId="0" fontId="59" fillId="59" borderId="51" applyNumberFormat="0" applyAlignment="0" applyProtection="0"/>
    <xf numFmtId="0" fontId="59" fillId="59" borderId="63" applyNumberFormat="0" applyAlignment="0" applyProtection="0"/>
    <xf numFmtId="0" fontId="57" fillId="0" borderId="53" applyNumberFormat="0" applyFill="0" applyAlignment="0" applyProtection="0"/>
    <xf numFmtId="0" fontId="56" fillId="0" borderId="52" applyNumberFormat="0" applyFill="0" applyAlignment="0" applyProtection="0"/>
    <xf numFmtId="0" fontId="8" fillId="47" borderId="49" applyNumberFormat="0" applyProtection="0">
      <alignment horizontal="left" vertical="center" indent="1"/>
    </xf>
    <xf numFmtId="0" fontId="8" fillId="34" borderId="49" applyNumberFormat="0" applyProtection="0">
      <alignment horizontal="left" vertical="center" indent="1"/>
    </xf>
    <xf numFmtId="0" fontId="56" fillId="0" borderId="47" applyNumberFormat="0" applyFill="0" applyAlignment="0" applyProtection="0"/>
    <xf numFmtId="0" fontId="57" fillId="0" borderId="48" applyNumberFormat="0" applyFill="0" applyAlignment="0" applyProtection="0"/>
    <xf numFmtId="0" fontId="8" fillId="46" borderId="49" applyNumberFormat="0" applyProtection="0">
      <alignment horizontal="left" vertical="top" indent="1"/>
    </xf>
    <xf numFmtId="0" fontId="8" fillId="46" borderId="49" applyNumberFormat="0" applyProtection="0">
      <alignment horizontal="left" vertical="center" indent="1"/>
    </xf>
    <xf numFmtId="4" fontId="43" fillId="43" borderId="49" applyNumberFormat="0" applyProtection="0">
      <alignment horizontal="right" vertical="center"/>
    </xf>
    <xf numFmtId="4" fontId="43" fillId="42" borderId="49" applyNumberFormat="0" applyProtection="0">
      <alignment horizontal="right" vertical="center"/>
    </xf>
    <xf numFmtId="4" fontId="43" fillId="38" borderId="49" applyNumberFormat="0" applyProtection="0">
      <alignment horizontal="right" vertical="center"/>
    </xf>
    <xf numFmtId="0" fontId="45" fillId="46" borderId="50" applyBorder="0"/>
    <xf numFmtId="4" fontId="43" fillId="39" borderId="49" applyNumberFormat="0" applyProtection="0">
      <alignment horizontal="right" vertical="center"/>
    </xf>
    <xf numFmtId="4" fontId="41" fillId="33" borderId="60" applyNumberFormat="0" applyProtection="0">
      <alignment vertical="center"/>
    </xf>
    <xf numFmtId="0" fontId="57" fillId="0" borderId="65" applyNumberFormat="0" applyFill="0" applyAlignment="0" applyProtection="0"/>
    <xf numFmtId="0" fontId="56" fillId="0" borderId="64" applyNumberFormat="0" applyFill="0" applyAlignment="0" applyProtection="0"/>
    <xf numFmtId="0" fontId="8" fillId="34" borderId="60" applyNumberFormat="0" applyProtection="0">
      <alignment horizontal="left" vertical="top" indent="1"/>
    </xf>
    <xf numFmtId="0" fontId="8" fillId="46" borderId="60" applyNumberFormat="0" applyProtection="0">
      <alignment horizontal="left" vertical="top" indent="1"/>
    </xf>
    <xf numFmtId="0" fontId="56" fillId="0" borderId="57" applyNumberFormat="0" applyFill="0" applyAlignment="0" applyProtection="0"/>
    <xf numFmtId="0" fontId="57" fillId="0" borderId="58" applyNumberFormat="0" applyFill="0" applyAlignment="0" applyProtection="0"/>
    <xf numFmtId="0" fontId="58" fillId="0" borderId="59" applyNumberFormat="0" applyFill="0" applyAlignment="0" applyProtection="0"/>
    <xf numFmtId="0" fontId="58" fillId="0" borderId="59" applyNumberFormat="0" applyFill="0" applyAlignment="0" applyProtection="0"/>
    <xf numFmtId="0" fontId="8" fillId="46" borderId="60" applyNumberFormat="0" applyProtection="0">
      <alignment horizontal="left" vertical="center" indent="1"/>
    </xf>
    <xf numFmtId="4" fontId="41" fillId="44" borderId="61" applyNumberFormat="0" applyProtection="0">
      <alignment horizontal="left" vertical="center" indent="1"/>
    </xf>
    <xf numFmtId="4" fontId="43" fillId="43" borderId="60" applyNumberFormat="0" applyProtection="0">
      <alignment horizontal="right" vertical="center"/>
    </xf>
    <xf numFmtId="4" fontId="43" fillId="39" borderId="60" applyNumberFormat="0" applyProtection="0">
      <alignment horizontal="right" vertical="center"/>
    </xf>
    <xf numFmtId="4" fontId="43" fillId="40" borderId="60" applyNumberFormat="0" applyProtection="0">
      <alignment horizontal="right" vertical="center"/>
    </xf>
    <xf numFmtId="0" fontId="43" fillId="49" borderId="88" applyNumberFormat="0" applyProtection="0">
      <alignment horizontal="left" vertical="top" indent="1"/>
    </xf>
    <xf numFmtId="0" fontId="45" fillId="46" borderId="90" applyBorder="0"/>
    <xf numFmtId="4" fontId="42" fillId="33" borderId="88" applyNumberFormat="0" applyProtection="0">
      <alignment vertical="center"/>
    </xf>
    <xf numFmtId="4" fontId="43" fillId="38" borderId="88" applyNumberFormat="0" applyProtection="0">
      <alignment horizontal="right" vertical="center"/>
    </xf>
    <xf numFmtId="4" fontId="46" fillId="45" borderId="88" applyNumberFormat="0" applyProtection="0">
      <alignment horizontal="right" vertical="center"/>
    </xf>
    <xf numFmtId="0" fontId="8" fillId="34" borderId="88" applyNumberFormat="0" applyProtection="0">
      <alignment horizontal="left" vertical="center" indent="1"/>
    </xf>
    <xf numFmtId="4" fontId="41" fillId="44" borderId="77" applyNumberFormat="0" applyProtection="0">
      <alignment horizontal="left" vertical="center" indent="1"/>
    </xf>
    <xf numFmtId="0" fontId="56" fillId="0" borderId="78" applyNumberFormat="0" applyFill="0" applyAlignment="0" applyProtection="0"/>
    <xf numFmtId="0" fontId="57" fillId="0" borderId="79" applyNumberFormat="0" applyFill="0" applyAlignment="0" applyProtection="0"/>
    <xf numFmtId="0" fontId="8" fillId="47" borderId="88" applyNumberFormat="0" applyProtection="0">
      <alignment horizontal="left" vertical="center" indent="1"/>
    </xf>
    <xf numFmtId="4" fontId="41" fillId="33" borderId="88" applyNumberFormat="0" applyProtection="0">
      <alignment horizontal="left" vertical="center" indent="1"/>
    </xf>
    <xf numFmtId="4" fontId="43" fillId="40" borderId="88" applyNumberFormat="0" applyProtection="0">
      <alignment horizontal="right" vertical="center"/>
    </xf>
    <xf numFmtId="0" fontId="8" fillId="46" borderId="88" applyNumberFormat="0" applyProtection="0">
      <alignment horizontal="left" vertical="top" indent="1"/>
    </xf>
    <xf numFmtId="0" fontId="57" fillId="0" borderId="85" applyNumberFormat="0" applyFill="0" applyAlignment="0" applyProtection="0"/>
    <xf numFmtId="0" fontId="58" fillId="0" borderId="83" applyNumberFormat="0" applyFill="0" applyAlignment="0" applyProtection="0"/>
    <xf numFmtId="0" fontId="8" fillId="47" borderId="88" applyNumberFormat="0" applyProtection="0">
      <alignment horizontal="left" vertical="top" indent="1"/>
    </xf>
    <xf numFmtId="4" fontId="43" fillId="34" borderId="88" applyNumberFormat="0" applyProtection="0">
      <alignment horizontal="right" vertical="center"/>
    </xf>
    <xf numFmtId="4" fontId="48" fillId="45" borderId="88" applyNumberFormat="0" applyProtection="0">
      <alignment horizontal="right" vertical="center"/>
    </xf>
    <xf numFmtId="0" fontId="43" fillId="34" borderId="88" applyNumberFormat="0" applyProtection="0">
      <alignment horizontal="left" vertical="top" indent="1"/>
    </xf>
    <xf numFmtId="4" fontId="43" fillId="49" borderId="88" applyNumberFormat="0" applyProtection="0">
      <alignment vertical="center"/>
    </xf>
    <xf numFmtId="4" fontId="43" fillId="42" borderId="88" applyNumberFormat="0" applyProtection="0">
      <alignment horizontal="right" vertical="center"/>
    </xf>
    <xf numFmtId="0" fontId="8" fillId="46" borderId="88" applyNumberFormat="0" applyProtection="0">
      <alignment horizontal="left" vertical="center" indent="1"/>
    </xf>
    <xf numFmtId="4" fontId="41" fillId="44" borderId="70" applyNumberFormat="0" applyProtection="0">
      <alignment horizontal="left" vertical="center" indent="1"/>
    </xf>
    <xf numFmtId="0" fontId="58" fillId="0" borderId="83" applyNumberFormat="0" applyFill="0" applyAlignment="0" applyProtection="0"/>
    <xf numFmtId="0" fontId="8" fillId="45" borderId="88" applyNumberFormat="0" applyProtection="0">
      <alignment horizontal="left" vertical="center" indent="1"/>
    </xf>
    <xf numFmtId="4" fontId="43" fillId="43" borderId="88" applyNumberFormat="0" applyProtection="0">
      <alignment horizontal="right" vertical="center"/>
    </xf>
    <xf numFmtId="4" fontId="43" fillId="39" borderId="88" applyNumberFormat="0" applyProtection="0">
      <alignment horizontal="right" vertical="center"/>
    </xf>
    <xf numFmtId="4" fontId="43" fillId="37" borderId="88" applyNumberFormat="0" applyProtection="0">
      <alignment horizontal="right" vertical="center"/>
    </xf>
    <xf numFmtId="4" fontId="41" fillId="44" borderId="80" applyNumberFormat="0" applyProtection="0">
      <alignment horizontal="left" vertical="center" indent="1"/>
    </xf>
    <xf numFmtId="0" fontId="56" fillId="0" borderId="86" applyNumberFormat="0" applyFill="0" applyAlignment="0" applyProtection="0"/>
    <xf numFmtId="0" fontId="57" fillId="0" borderId="87" applyNumberFormat="0" applyFill="0" applyAlignment="0" applyProtection="0"/>
    <xf numFmtId="4" fontId="43" fillId="35" borderId="88" applyNumberFormat="0" applyProtection="0">
      <alignment horizontal="right" vertical="center"/>
    </xf>
    <xf numFmtId="4" fontId="46" fillId="49" borderId="88" applyNumberFormat="0" applyProtection="0">
      <alignment vertical="center"/>
    </xf>
    <xf numFmtId="4" fontId="43" fillId="41" borderId="88" applyNumberFormat="0" applyProtection="0">
      <alignment horizontal="right" vertical="center"/>
    </xf>
    <xf numFmtId="0" fontId="8" fillId="34" borderId="88" applyNumberFormat="0" applyProtection="0">
      <alignment horizontal="left" vertical="top" indent="1"/>
    </xf>
    <xf numFmtId="0" fontId="41" fillId="33" borderId="88" applyNumberFormat="0" applyProtection="0">
      <alignment horizontal="left" vertical="top" indent="1"/>
    </xf>
    <xf numFmtId="4" fontId="43" fillId="36" borderId="88" applyNumberFormat="0" applyProtection="0">
      <alignment horizontal="right" vertical="center"/>
    </xf>
    <xf numFmtId="0" fontId="57" fillId="0" borderId="76" applyNumberFormat="0" applyFill="0" applyAlignment="0" applyProtection="0"/>
    <xf numFmtId="0" fontId="56" fillId="0" borderId="75" applyNumberFormat="0" applyFill="0" applyAlignment="0" applyProtection="0"/>
    <xf numFmtId="4" fontId="43" fillId="34" borderId="88" applyNumberFormat="0" applyProtection="0">
      <alignment horizontal="left" vertical="center" indent="1"/>
    </xf>
    <xf numFmtId="0" fontId="8" fillId="45" borderId="88" applyNumberFormat="0" applyProtection="0">
      <alignment horizontal="left" vertical="top" indent="1"/>
    </xf>
    <xf numFmtId="0" fontId="56" fillId="0" borderId="71" applyNumberFormat="0" applyFill="0" applyAlignment="0" applyProtection="0"/>
    <xf numFmtId="0" fontId="57" fillId="0" borderId="72" applyNumberFormat="0" applyFill="0" applyAlignment="0" applyProtection="0"/>
    <xf numFmtId="0" fontId="58" fillId="0" borderId="73" applyNumberFormat="0" applyFill="0" applyAlignment="0" applyProtection="0"/>
    <xf numFmtId="0" fontId="58" fillId="0" borderId="73" applyNumberFormat="0" applyFill="0" applyAlignment="0" applyProtection="0"/>
    <xf numFmtId="4" fontId="41" fillId="44" borderId="74" applyNumberFormat="0" applyProtection="0">
      <alignment horizontal="left" vertical="center" indent="1"/>
    </xf>
    <xf numFmtId="0" fontId="56" fillId="0" borderId="81" applyNumberFormat="0" applyFill="0" applyAlignment="0" applyProtection="0"/>
    <xf numFmtId="0" fontId="57" fillId="0" borderId="82" applyNumberFormat="0" applyFill="0" applyAlignment="0" applyProtection="0"/>
    <xf numFmtId="4" fontId="43" fillId="45" borderId="88" applyNumberFormat="0" applyProtection="0">
      <alignment horizontal="right" vertical="center"/>
    </xf>
    <xf numFmtId="0" fontId="56" fillId="0" borderId="84" applyNumberFormat="0" applyFill="0" applyAlignment="0" applyProtection="0"/>
    <xf numFmtId="4" fontId="41" fillId="33" borderId="88" applyNumberFormat="0" applyProtection="0">
      <alignment vertical="center"/>
    </xf>
    <xf numFmtId="4" fontId="43" fillId="49" borderId="88" applyNumberFormat="0" applyProtection="0">
      <alignment horizontal="left" vertical="center" indent="1"/>
    </xf>
    <xf numFmtId="0" fontId="52" fillId="56" borderId="91" applyNumberFormat="0" applyAlignment="0" applyProtection="0"/>
    <xf numFmtId="0" fontId="52" fillId="56" borderId="91" applyNumberFormat="0" applyAlignment="0" applyProtection="0"/>
    <xf numFmtId="0" fontId="59" fillId="59" borderId="91" applyNumberFormat="0" applyAlignment="0" applyProtection="0"/>
    <xf numFmtId="0" fontId="59" fillId="59" borderId="91" applyNumberFormat="0" applyAlignment="0" applyProtection="0"/>
    <xf numFmtId="0" fontId="27" fillId="49" borderId="92" applyNumberFormat="0" applyFont="0" applyAlignment="0" applyProtection="0"/>
    <xf numFmtId="0" fontId="62" fillId="56" borderId="93" applyNumberFormat="0" applyAlignment="0" applyProtection="0"/>
    <xf numFmtId="0" fontId="62" fillId="56" borderId="93" applyNumberFormat="0" applyAlignment="0" applyProtection="0"/>
    <xf numFmtId="0" fontId="28" fillId="0" borderId="89" applyNumberFormat="0" applyFill="0" applyAlignment="0" applyProtection="0"/>
    <xf numFmtId="0" fontId="28" fillId="0" borderId="89" applyNumberFormat="0" applyFill="0" applyAlignment="0" applyProtection="0"/>
    <xf numFmtId="0" fontId="56" fillId="0" borderId="94" applyNumberFormat="0" applyFill="0" applyAlignment="0" applyProtection="0"/>
    <xf numFmtId="0" fontId="57" fillId="0" borderId="95" applyNumberFormat="0" applyFill="0" applyAlignment="0" applyProtection="0"/>
    <xf numFmtId="0" fontId="56" fillId="0" borderId="96" applyNumberFormat="0" applyFill="0" applyAlignment="0" applyProtection="0"/>
    <xf numFmtId="0" fontId="56" fillId="0" borderId="98" applyNumberFormat="0" applyFill="0" applyAlignment="0" applyProtection="0"/>
    <xf numFmtId="0" fontId="57" fillId="0" borderId="99" applyNumberFormat="0" applyFill="0" applyAlignment="0" applyProtection="0"/>
    <xf numFmtId="0" fontId="58" fillId="0" borderId="100" applyNumberFormat="0" applyFill="0" applyAlignment="0" applyProtection="0"/>
    <xf numFmtId="0" fontId="57" fillId="0" borderId="103" applyNumberFormat="0" applyFill="0" applyAlignment="0" applyProtection="0"/>
    <xf numFmtId="0" fontId="56" fillId="0" borderId="102" applyNumberFormat="0" applyFill="0" applyAlignment="0" applyProtection="0"/>
    <xf numFmtId="0" fontId="57" fillId="0" borderId="105" applyNumberFormat="0" applyFill="0" applyAlignment="0" applyProtection="0"/>
    <xf numFmtId="0" fontId="58" fillId="0" borderId="106" applyNumberFormat="0" applyFill="0" applyAlignment="0" applyProtection="0"/>
    <xf numFmtId="0" fontId="58" fillId="0" borderId="106" applyNumberFormat="0" applyFill="0" applyAlignment="0" applyProtection="0"/>
    <xf numFmtId="4" fontId="41" fillId="44" borderId="101" applyNumberFormat="0" applyProtection="0">
      <alignment horizontal="left" vertical="center" indent="1"/>
    </xf>
    <xf numFmtId="0" fontId="57" fillId="0" borderId="108" applyNumberFormat="0" applyFill="0" applyAlignment="0" applyProtection="0"/>
    <xf numFmtId="0" fontId="56" fillId="0" borderId="107" applyNumberFormat="0" applyFill="0" applyAlignment="0" applyProtection="0"/>
    <xf numFmtId="0" fontId="57" fillId="0" borderId="97" applyNumberFormat="0" applyFill="0" applyAlignment="0" applyProtection="0"/>
    <xf numFmtId="0" fontId="58" fillId="0" borderId="100" applyNumberFormat="0" applyFill="0" applyAlignment="0" applyProtection="0"/>
    <xf numFmtId="0" fontId="56" fillId="0" borderId="104" applyNumberFormat="0" applyFill="0" applyAlignment="0" applyProtection="0"/>
    <xf numFmtId="0" fontId="73" fillId="62" borderId="110" applyNumberFormat="0" applyAlignment="0" applyProtection="0"/>
    <xf numFmtId="0" fontId="74" fillId="63" borderId="110" applyNumberFormat="0" applyAlignment="0" applyProtection="0"/>
  </cellStyleXfs>
  <cellXfs count="278">
    <xf numFmtId="0" fontId="0" fillId="0" borderId="0" xfId="0"/>
    <xf numFmtId="0" fontId="1" fillId="0" borderId="0" xfId="0" applyFont="1"/>
    <xf numFmtId="0" fontId="3" fillId="0" borderId="7" xfId="5" applyAlignment="1">
      <alignment horizontal="left"/>
    </xf>
    <xf numFmtId="5" fontId="4" fillId="0" borderId="8" xfId="6" applyNumberFormat="1" applyFill="1" applyAlignment="1">
      <alignment horizontal="left" indent="1"/>
    </xf>
    <xf numFmtId="5" fontId="4" fillId="0" borderId="8" xfId="6" applyNumberFormat="1" applyFill="1"/>
    <xf numFmtId="5" fontId="10" fillId="0" borderId="0" xfId="10" applyNumberFormat="1" applyFont="1"/>
    <xf numFmtId="37" fontId="10" fillId="0" borderId="0" xfId="10" applyNumberFormat="1" applyFont="1" applyAlignment="1">
      <alignment horizontal="center"/>
    </xf>
    <xf numFmtId="164" fontId="3" fillId="0" borderId="7" xfId="5" applyNumberFormat="1"/>
    <xf numFmtId="164" fontId="3" fillId="0" borderId="7" xfId="5" applyNumberFormat="1" applyAlignment="1">
      <alignment horizontal="right"/>
    </xf>
    <xf numFmtId="37" fontId="5" fillId="0" borderId="0" xfId="8" applyNumberFormat="1"/>
    <xf numFmtId="37" fontId="4" fillId="0" borderId="0" xfId="7" applyNumberFormat="1"/>
    <xf numFmtId="37" fontId="10" fillId="0" borderId="0" xfId="10" applyNumberFormat="1" applyFont="1"/>
    <xf numFmtId="5" fontId="11" fillId="0" borderId="0" xfId="10" applyNumberFormat="1" applyFont="1"/>
    <xf numFmtId="5" fontId="9" fillId="0" borderId="0" xfId="10" applyNumberFormat="1" applyFont="1"/>
    <xf numFmtId="37" fontId="11" fillId="0" borderId="0" xfId="10" applyNumberFormat="1" applyFont="1"/>
    <xf numFmtId="37" fontId="9" fillId="0" borderId="0" xfId="10" applyNumberFormat="1" applyFont="1"/>
    <xf numFmtId="37" fontId="9" fillId="0" borderId="2" xfId="10" applyNumberFormat="1" applyFont="1" applyBorder="1"/>
    <xf numFmtId="0" fontId="3" fillId="0" borderId="7" xfId="5"/>
    <xf numFmtId="0" fontId="1" fillId="0" borderId="0" xfId="0" applyFont="1" applyAlignment="1">
      <alignment horizontal="center"/>
    </xf>
    <xf numFmtId="0" fontId="2" fillId="0" borderId="6" xfId="4"/>
    <xf numFmtId="0" fontId="2" fillId="0" borderId="6" xfId="4" applyAlignment="1">
      <alignment wrapText="1"/>
    </xf>
    <xf numFmtId="0" fontId="3" fillId="0" borderId="7" xfId="5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3" fillId="0" borderId="0" xfId="0" applyFont="1"/>
    <xf numFmtId="165" fontId="0" fillId="0" borderId="0" xfId="2" applyNumberFormat="1" applyFont="1"/>
    <xf numFmtId="165" fontId="1" fillId="0" borderId="0" xfId="2" applyNumberFormat="1" applyFont="1"/>
    <xf numFmtId="165" fontId="1" fillId="0" borderId="0" xfId="2" applyNumberFormat="1" applyFont="1" applyAlignment="1">
      <alignment wrapText="1"/>
    </xf>
    <xf numFmtId="0" fontId="0" fillId="0" borderId="0" xfId="0" applyAlignment="1">
      <alignment horizontal="center" wrapText="1"/>
    </xf>
    <xf numFmtId="0" fontId="4" fillId="0" borderId="0" xfId="7"/>
    <xf numFmtId="0" fontId="4" fillId="0" borderId="8" xfId="6"/>
    <xf numFmtId="0" fontId="7" fillId="2" borderId="0" xfId="0" applyFont="1" applyFill="1" applyAlignment="1">
      <alignment horizont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/>
    <xf numFmtId="0" fontId="12" fillId="0" borderId="4" xfId="0" applyFont="1" applyBorder="1"/>
    <xf numFmtId="0" fontId="1" fillId="0" borderId="4" xfId="0" applyFont="1" applyBorder="1"/>
    <xf numFmtId="0" fontId="6" fillId="0" borderId="5" xfId="0" applyFont="1" applyBorder="1"/>
    <xf numFmtId="0" fontId="1" fillId="0" borderId="5" xfId="0" applyFont="1" applyBorder="1"/>
    <xf numFmtId="166" fontId="1" fillId="0" borderId="5" xfId="0" applyNumberFormat="1" applyFont="1" applyBorder="1" applyAlignment="1">
      <alignment wrapText="1"/>
    </xf>
    <xf numFmtId="0" fontId="4" fillId="0" borderId="8" xfId="6" applyAlignment="1">
      <alignment wrapText="1"/>
    </xf>
    <xf numFmtId="0" fontId="4" fillId="0" borderId="8" xfId="6" applyAlignment="1">
      <alignment horizontal="center"/>
    </xf>
    <xf numFmtId="165" fontId="1" fillId="0" borderId="4" xfId="2" applyNumberFormat="1" applyFont="1" applyBorder="1" applyAlignment="1">
      <alignment wrapText="1"/>
    </xf>
    <xf numFmtId="165" fontId="1" fillId="0" borderId="0" xfId="2" applyNumberFormat="1" applyFont="1" applyBorder="1" applyAlignment="1">
      <alignment wrapText="1"/>
    </xf>
    <xf numFmtId="0" fontId="4" fillId="0" borderId="0" xfId="6" applyBorder="1" applyAlignment="1">
      <alignment wrapText="1"/>
    </xf>
    <xf numFmtId="0" fontId="16" fillId="0" borderId="0" xfId="0" applyFont="1"/>
    <xf numFmtId="166" fontId="1" fillId="0" borderId="0" xfId="1" applyNumberFormat="1" applyFont="1"/>
    <xf numFmtId="43" fontId="1" fillId="0" borderId="4" xfId="1" applyFont="1" applyBorder="1" applyAlignment="1">
      <alignment wrapText="1"/>
    </xf>
    <xf numFmtId="43" fontId="1" fillId="0" borderId="0" xfId="1" applyFont="1" applyBorder="1" applyAlignment="1">
      <alignment wrapText="1"/>
    </xf>
    <xf numFmtId="166" fontId="1" fillId="0" borderId="0" xfId="0" applyNumberFormat="1" applyFont="1" applyAlignment="1">
      <alignment wrapText="1"/>
    </xf>
    <xf numFmtId="166" fontId="0" fillId="0" borderId="0" xfId="1" applyNumberFormat="1" applyFont="1"/>
    <xf numFmtId="166" fontId="1" fillId="0" borderId="0" xfId="1" applyNumberFormat="1" applyFont="1" applyAlignment="1"/>
    <xf numFmtId="0" fontId="6" fillId="0" borderId="0" xfId="0" applyFont="1" applyAlignment="1">
      <alignment vertical="center"/>
    </xf>
    <xf numFmtId="166" fontId="1" fillId="0" borderId="0" xfId="1" applyNumberFormat="1" applyFont="1" applyAlignment="1">
      <alignment vertical="center" wrapText="1"/>
    </xf>
    <xf numFmtId="166" fontId="0" fillId="0" borderId="0" xfId="1" applyNumberFormat="1" applyFont="1" applyAlignment="1">
      <alignment horizontal="center" vertical="center" wrapText="1"/>
    </xf>
    <xf numFmtId="0" fontId="1" fillId="0" borderId="0" xfId="1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37" fontId="4" fillId="0" borderId="8" xfId="6" applyNumberFormat="1"/>
    <xf numFmtId="166" fontId="1" fillId="0" borderId="0" xfId="1" applyNumberFormat="1" applyFont="1" applyAlignment="1">
      <alignment horizontal="center"/>
    </xf>
    <xf numFmtId="43" fontId="1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168" fontId="0" fillId="0" borderId="0" xfId="3" applyNumberFormat="1" applyFont="1"/>
    <xf numFmtId="166" fontId="0" fillId="0" borderId="0" xfId="0" applyNumberFormat="1"/>
    <xf numFmtId="169" fontId="1" fillId="0" borderId="0" xfId="1" applyNumberFormat="1" applyFont="1"/>
    <xf numFmtId="166" fontId="1" fillId="0" borderId="0" xfId="1" applyNumberFormat="1" applyFont="1" applyFill="1"/>
    <xf numFmtId="166" fontId="7" fillId="0" borderId="0" xfId="1" applyNumberFormat="1" applyFont="1" applyFill="1" applyAlignment="1">
      <alignment wrapText="1"/>
    </xf>
    <xf numFmtId="166" fontId="6" fillId="0" borderId="0" xfId="1" applyNumberFormat="1" applyFont="1" applyFill="1"/>
    <xf numFmtId="166" fontId="19" fillId="0" borderId="0" xfId="1" applyNumberFormat="1" applyFont="1" applyFill="1" applyAlignment="1">
      <alignment wrapText="1"/>
    </xf>
    <xf numFmtId="169" fontId="7" fillId="2" borderId="0" xfId="1" applyNumberFormat="1" applyFont="1" applyFill="1" applyAlignment="1">
      <alignment wrapText="1"/>
    </xf>
    <xf numFmtId="43" fontId="1" fillId="0" borderId="5" xfId="0" applyNumberFormat="1" applyFont="1" applyBorder="1" applyAlignment="1">
      <alignment wrapText="1"/>
    </xf>
    <xf numFmtId="0" fontId="6" fillId="0" borderId="0" xfId="0" applyFont="1" applyAlignment="1">
      <alignment horizontal="right"/>
    </xf>
    <xf numFmtId="1" fontId="1" fillId="0" borderId="0" xfId="0" applyNumberFormat="1" applyFont="1" applyAlignment="1">
      <alignment wrapText="1"/>
    </xf>
    <xf numFmtId="0" fontId="2" fillId="0" borderId="6" xfId="4" applyAlignment="1">
      <alignment horizontal="left"/>
    </xf>
    <xf numFmtId="0" fontId="17" fillId="0" borderId="0" xfId="0" applyFont="1"/>
    <xf numFmtId="0" fontId="24" fillId="0" borderId="0" xfId="0" applyFont="1"/>
    <xf numFmtId="2" fontId="9" fillId="0" borderId="0" xfId="0" applyNumberFormat="1" applyFont="1"/>
    <xf numFmtId="43" fontId="1" fillId="0" borderId="4" xfId="1" applyFont="1" applyBorder="1"/>
    <xf numFmtId="43" fontId="1" fillId="0" borderId="0" xfId="1" applyFont="1"/>
    <xf numFmtId="43" fontId="1" fillId="0" borderId="0" xfId="1" applyFont="1" applyBorder="1"/>
    <xf numFmtId="43" fontId="9" fillId="0" borderId="4" xfId="1" applyFont="1" applyBorder="1"/>
    <xf numFmtId="43" fontId="9" fillId="0" borderId="0" xfId="1" applyFont="1" applyBorder="1"/>
    <xf numFmtId="43" fontId="9" fillId="0" borderId="5" xfId="1" applyFont="1" applyBorder="1"/>
    <xf numFmtId="0" fontId="1" fillId="17" borderId="0" xfId="0" applyFont="1" applyFill="1" applyAlignment="1">
      <alignment wrapText="1"/>
    </xf>
    <xf numFmtId="166" fontId="0" fillId="17" borderId="0" xfId="1" applyNumberFormat="1" applyFont="1" applyFill="1" applyAlignment="1">
      <alignment horizontal="right"/>
    </xf>
    <xf numFmtId="167" fontId="1" fillId="17" borderId="0" xfId="3" applyNumberFormat="1" applyFont="1" applyFill="1" applyAlignment="1">
      <alignment horizontal="center" wrapText="1"/>
    </xf>
    <xf numFmtId="167" fontId="1" fillId="17" borderId="0" xfId="3" applyNumberFormat="1" applyFont="1" applyFill="1" applyAlignment="1">
      <alignment horizontal="center"/>
    </xf>
    <xf numFmtId="166" fontId="1" fillId="0" borderId="0" xfId="1" applyNumberFormat="1" applyFont="1" applyAlignment="1">
      <alignment wrapText="1"/>
    </xf>
    <xf numFmtId="0" fontId="12" fillId="0" borderId="0" xfId="0" applyFont="1"/>
    <xf numFmtId="0" fontId="9" fillId="0" borderId="0" xfId="0" applyFont="1"/>
    <xf numFmtId="166" fontId="7" fillId="2" borderId="0" xfId="1" applyNumberFormat="1" applyFont="1" applyFill="1" applyAlignment="1">
      <alignment wrapText="1"/>
    </xf>
    <xf numFmtId="0" fontId="18" fillId="0" borderId="0" xfId="0" applyFont="1"/>
    <xf numFmtId="0" fontId="10" fillId="0" borderId="0" xfId="0" applyFont="1"/>
    <xf numFmtId="170" fontId="1" fillId="0" borderId="0" xfId="0" applyNumberFormat="1" applyFont="1" applyAlignment="1">
      <alignment horizontal="center" wrapText="1"/>
    </xf>
    <xf numFmtId="9" fontId="1" fillId="0" borderId="0" xfId="3" applyFont="1" applyAlignment="1">
      <alignment wrapText="1"/>
    </xf>
    <xf numFmtId="167" fontId="1" fillId="0" borderId="0" xfId="3" applyNumberFormat="1" applyFont="1" applyAlignment="1">
      <alignment wrapText="1"/>
    </xf>
    <xf numFmtId="0" fontId="4" fillId="0" borderId="0" xfId="7" applyBorder="1"/>
    <xf numFmtId="0" fontId="4" fillId="0" borderId="5" xfId="7" applyBorder="1"/>
    <xf numFmtId="165" fontId="1" fillId="0" borderId="69" xfId="1" applyNumberFormat="1" applyFont="1" applyBorder="1"/>
    <xf numFmtId="165" fontId="1" fillId="0" borderId="0" xfId="1" applyNumberFormat="1" applyFont="1" applyBorder="1"/>
    <xf numFmtId="165" fontId="1" fillId="0" borderId="5" xfId="0" applyNumberFormat="1" applyFont="1" applyBorder="1" applyAlignment="1">
      <alignment wrapText="1"/>
    </xf>
    <xf numFmtId="43" fontId="9" fillId="0" borderId="0" xfId="1" applyFont="1"/>
    <xf numFmtId="43" fontId="24" fillId="0" borderId="0" xfId="1" applyFont="1"/>
    <xf numFmtId="171" fontId="9" fillId="0" borderId="5" xfId="1" applyNumberFormat="1" applyFont="1" applyBorder="1"/>
    <xf numFmtId="171" fontId="9" fillId="0" borderId="0" xfId="1" applyNumberFormat="1" applyFont="1" applyBorder="1"/>
    <xf numFmtId="177" fontId="9" fillId="0" borderId="0" xfId="1" applyNumberFormat="1" applyFont="1"/>
    <xf numFmtId="0" fontId="6" fillId="0" borderId="0" xfId="0" applyFont="1" applyAlignment="1">
      <alignment horizontal="center" vertical="center" wrapText="1"/>
    </xf>
    <xf numFmtId="171" fontId="9" fillId="0" borderId="4" xfId="1" applyNumberFormat="1" applyFont="1" applyBorder="1"/>
    <xf numFmtId="0" fontId="7" fillId="2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43" fontId="4" fillId="0" borderId="0" xfId="7" applyNumberFormat="1"/>
    <xf numFmtId="43" fontId="1" fillId="0" borderId="5" xfId="1" applyFont="1" applyBorder="1"/>
    <xf numFmtId="0" fontId="3" fillId="0" borderId="7" xfId="5" applyAlignment="1">
      <alignment horizontal="center" vertical="center"/>
    </xf>
    <xf numFmtId="0" fontId="6" fillId="0" borderId="1" xfId="9"/>
    <xf numFmtId="0" fontId="0" fillId="0" borderId="0" xfId="0" applyAlignment="1">
      <alignment horizontal="left"/>
    </xf>
    <xf numFmtId="165" fontId="6" fillId="0" borderId="3" xfId="9" applyNumberFormat="1" applyFill="1" applyBorder="1"/>
    <xf numFmtId="165" fontId="9" fillId="0" borderId="2" xfId="10" applyNumberFormat="1" applyFont="1" applyBorder="1"/>
    <xf numFmtId="43" fontId="1" fillId="0" borderId="5" xfId="1" applyFont="1" applyBorder="1" applyAlignment="1">
      <alignment wrapText="1"/>
    </xf>
    <xf numFmtId="5" fontId="6" fillId="0" borderId="1" xfId="9" applyNumberFormat="1" applyFill="1"/>
    <xf numFmtId="165" fontId="9" fillId="0" borderId="0" xfId="10" applyNumberFormat="1" applyFont="1"/>
    <xf numFmtId="165" fontId="6" fillId="0" borderId="1" xfId="9" applyNumberFormat="1" applyFill="1"/>
    <xf numFmtId="165" fontId="10" fillId="0" borderId="0" xfId="2" applyNumberFormat="1" applyFont="1" applyBorder="1"/>
    <xf numFmtId="166" fontId="1" fillId="0" borderId="0" xfId="1" applyNumberFormat="1" applyFont="1" applyAlignment="1">
      <alignment horizontal="center" wrapText="1"/>
    </xf>
    <xf numFmtId="5" fontId="6" fillId="0" borderId="0" xfId="9" applyNumberFormat="1" applyFill="1" applyBorder="1"/>
    <xf numFmtId="165" fontId="6" fillId="0" borderId="0" xfId="9" applyNumberFormat="1" applyFill="1" applyBorder="1"/>
    <xf numFmtId="5" fontId="22" fillId="0" borderId="0" xfId="16" applyNumberFormat="1" applyFill="1" applyBorder="1"/>
    <xf numFmtId="165" fontId="9" fillId="0" borderId="0" xfId="2" applyNumberFormat="1" applyFont="1" applyBorder="1"/>
    <xf numFmtId="165" fontId="6" fillId="0" borderId="0" xfId="2" applyNumberFormat="1" applyFont="1" applyFill="1"/>
    <xf numFmtId="165" fontId="1" fillId="0" borderId="0" xfId="0" applyNumberFormat="1" applyFont="1" applyAlignment="1">
      <alignment wrapText="1"/>
    </xf>
    <xf numFmtId="166" fontId="0" fillId="0" borderId="0" xfId="1" applyNumberFormat="1" applyFont="1" applyAlignment="1">
      <alignment horizontal="center"/>
    </xf>
    <xf numFmtId="165" fontId="1" fillId="0" borderId="0" xfId="0" applyNumberFormat="1" applyFont="1"/>
    <xf numFmtId="165" fontId="6" fillId="0" borderId="0" xfId="0" applyNumberFormat="1" applyFont="1"/>
    <xf numFmtId="37" fontId="9" fillId="0" borderId="0" xfId="10" applyNumberFormat="1" applyFont="1" applyAlignment="1">
      <alignment horizontal="right"/>
    </xf>
    <xf numFmtId="37" fontId="9" fillId="0" borderId="0" xfId="10" applyNumberFormat="1" applyFont="1" applyAlignment="1">
      <alignment horizontal="left"/>
    </xf>
    <xf numFmtId="165" fontId="0" fillId="0" borderId="0" xfId="0" applyNumberFormat="1" applyAlignment="1">
      <alignment wrapText="1"/>
    </xf>
    <xf numFmtId="44" fontId="9" fillId="0" borderId="0" xfId="2" applyFont="1" applyBorder="1"/>
    <xf numFmtId="165" fontId="10" fillId="0" borderId="2" xfId="10" applyNumberFormat="1" applyFont="1" applyBorder="1"/>
    <xf numFmtId="2" fontId="1" fillId="0" borderId="0" xfId="0" applyNumberFormat="1" applyFont="1" applyAlignment="1">
      <alignment wrapText="1"/>
    </xf>
    <xf numFmtId="2" fontId="0" fillId="0" borderId="0" xfId="3" applyNumberFormat="1" applyFont="1"/>
    <xf numFmtId="178" fontId="1" fillId="0" borderId="0" xfId="0" applyNumberFormat="1" applyFont="1"/>
    <xf numFmtId="1" fontId="0" fillId="0" borderId="0" xfId="0" applyNumberFormat="1"/>
    <xf numFmtId="0" fontId="3" fillId="0" borderId="7" xfId="5" applyAlignment="1">
      <alignment horizontal="right"/>
    </xf>
    <xf numFmtId="165" fontId="0" fillId="0" borderId="0" xfId="0" applyNumberFormat="1" applyAlignment="1">
      <alignment horizontal="center"/>
    </xf>
    <xf numFmtId="165" fontId="14" fillId="0" borderId="0" xfId="2" applyNumberFormat="1" applyFont="1" applyAlignment="1">
      <alignment horizontal="center"/>
    </xf>
    <xf numFmtId="43" fontId="1" fillId="0" borderId="0" xfId="0" applyNumberFormat="1" applyFont="1"/>
    <xf numFmtId="165" fontId="10" fillId="0" borderId="0" xfId="10" applyNumberFormat="1" applyFont="1"/>
    <xf numFmtId="0" fontId="67" fillId="0" borderId="0" xfId="0" applyFont="1"/>
    <xf numFmtId="166" fontId="6" fillId="0" borderId="0" xfId="0" applyNumberFormat="1" applyFont="1"/>
    <xf numFmtId="0" fontId="3" fillId="0" borderId="0" xfId="5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167" fontId="6" fillId="0" borderId="0" xfId="3" applyNumberFormat="1" applyFont="1" applyAlignment="1">
      <alignment wrapText="1"/>
    </xf>
    <xf numFmtId="0" fontId="68" fillId="0" borderId="0" xfId="0" applyFont="1"/>
    <xf numFmtId="0" fontId="69" fillId="0" borderId="0" xfId="0" applyFont="1"/>
    <xf numFmtId="166" fontId="7" fillId="61" borderId="0" xfId="1" applyNumberFormat="1" applyFont="1" applyFill="1" applyAlignment="1">
      <alignment wrapText="1"/>
    </xf>
    <xf numFmtId="169" fontId="7" fillId="61" borderId="0" xfId="1" applyNumberFormat="1" applyFont="1" applyFill="1" applyAlignment="1">
      <alignment wrapText="1"/>
    </xf>
    <xf numFmtId="179" fontId="6" fillId="0" borderId="0" xfId="0" applyNumberFormat="1" applyFont="1" applyAlignment="1">
      <alignment horizontal="center"/>
    </xf>
    <xf numFmtId="166" fontId="1" fillId="0" borderId="0" xfId="1" applyNumberFormat="1" applyFont="1" applyBorder="1"/>
    <xf numFmtId="166" fontId="1" fillId="0" borderId="4" xfId="1" applyNumberFormat="1" applyFont="1" applyBorder="1"/>
    <xf numFmtId="0" fontId="7" fillId="0" borderId="0" xfId="0" applyFont="1" applyAlignment="1">
      <alignment horizontal="center" wrapText="1"/>
    </xf>
    <xf numFmtId="0" fontId="7" fillId="0" borderId="109" xfId="0" applyFont="1" applyBorder="1" applyAlignment="1">
      <alignment horizontal="center" wrapText="1"/>
    </xf>
    <xf numFmtId="165" fontId="7" fillId="0" borderId="0" xfId="2" applyNumberFormat="1" applyFont="1" applyFill="1"/>
    <xf numFmtId="165" fontId="7" fillId="2" borderId="0" xfId="2" applyNumberFormat="1" applyFont="1" applyFill="1"/>
    <xf numFmtId="2" fontId="7" fillId="2" borderId="0" xfId="2" applyNumberFormat="1" applyFont="1" applyFill="1"/>
    <xf numFmtId="2" fontId="7" fillId="2" borderId="0" xfId="0" applyNumberFormat="1" applyFont="1" applyFill="1"/>
    <xf numFmtId="44" fontId="7" fillId="2" borderId="0" xfId="2" applyFont="1" applyFill="1"/>
    <xf numFmtId="0" fontId="70" fillId="0" borderId="0" xfId="0" applyFont="1"/>
    <xf numFmtId="166" fontId="7" fillId="2" borderId="0" xfId="1" applyNumberFormat="1" applyFont="1" applyFill="1" applyAlignment="1">
      <alignment horizontal="center" wrapText="1"/>
    </xf>
    <xf numFmtId="0" fontId="7" fillId="2" borderId="0" xfId="0" applyFont="1" applyFill="1" applyAlignment="1">
      <alignment wrapText="1"/>
    </xf>
    <xf numFmtId="178" fontId="9" fillId="0" borderId="0" xfId="0" applyNumberFormat="1" applyFont="1"/>
    <xf numFmtId="166" fontId="7" fillId="2" borderId="0" xfId="1" applyNumberFormat="1" applyFont="1" applyFill="1" applyAlignment="1">
      <alignment horizontal="center"/>
    </xf>
    <xf numFmtId="9" fontId="7" fillId="2" borderId="0" xfId="3" applyFont="1" applyFill="1"/>
    <xf numFmtId="165" fontId="1" fillId="0" borderId="0" xfId="2" applyNumberFormat="1" applyFont="1" applyAlignment="1"/>
    <xf numFmtId="167" fontId="1" fillId="0" borderId="0" xfId="3" applyNumberFormat="1" applyFont="1" applyAlignment="1"/>
    <xf numFmtId="0" fontId="0" fillId="0" borderId="0" xfId="0" applyAlignment="1">
      <alignment horizontal="center" vertical="center"/>
    </xf>
    <xf numFmtId="165" fontId="1" fillId="0" borderId="0" xfId="2" applyNumberFormat="1" applyFont="1" applyAlignment="1">
      <alignment horizontal="left" vertical="center"/>
    </xf>
    <xf numFmtId="165" fontId="0" fillId="0" borderId="0" xfId="0" applyNumberFormat="1"/>
    <xf numFmtId="165" fontId="7" fillId="2" borderId="0" xfId="2" applyNumberFormat="1" applyFont="1" applyFill="1" applyAlignment="1">
      <alignment wrapText="1"/>
    </xf>
    <xf numFmtId="166" fontId="1" fillId="0" borderId="4" xfId="1" applyNumberFormat="1" applyFont="1" applyBorder="1" applyAlignment="1">
      <alignment wrapText="1"/>
    </xf>
    <xf numFmtId="166" fontId="1" fillId="0" borderId="0" xfId="1" applyNumberFormat="1" applyFont="1" applyBorder="1" applyAlignment="1">
      <alignment wrapText="1"/>
    </xf>
    <xf numFmtId="167" fontId="72" fillId="0" borderId="0" xfId="12" applyNumberFormat="1" applyFont="1" applyFill="1"/>
    <xf numFmtId="0" fontId="6" fillId="0" borderId="0" xfId="0" applyFont="1" applyAlignment="1">
      <alignment horizontal="center" wrapText="1"/>
    </xf>
    <xf numFmtId="167" fontId="1" fillId="0" borderId="0" xfId="3" applyNumberFormat="1" applyFont="1" applyAlignment="1">
      <alignment horizontal="center" wrapText="1"/>
    </xf>
    <xf numFmtId="0" fontId="2" fillId="0" borderId="6" xfId="4" applyAlignment="1"/>
    <xf numFmtId="169" fontId="9" fillId="0" borderId="0" xfId="1" applyNumberFormat="1" applyFont="1" applyFill="1" applyAlignment="1">
      <alignment wrapText="1"/>
    </xf>
    <xf numFmtId="169" fontId="69" fillId="0" borderId="0" xfId="1" applyNumberFormat="1" applyFont="1"/>
    <xf numFmtId="169" fontId="18" fillId="0" borderId="0" xfId="1" applyNumberFormat="1" applyFont="1"/>
    <xf numFmtId="169" fontId="0" fillId="0" borderId="0" xfId="1" applyNumberFormat="1" applyFont="1"/>
    <xf numFmtId="169" fontId="10" fillId="0" borderId="0" xfId="1" applyNumberFormat="1" applyFont="1"/>
    <xf numFmtId="169" fontId="7" fillId="2" borderId="0" xfId="1" applyNumberFormat="1" applyFont="1" applyFill="1"/>
    <xf numFmtId="169" fontId="1" fillId="0" borderId="0" xfId="1" applyNumberFormat="1" applyFont="1" applyAlignment="1">
      <alignment wrapText="1"/>
    </xf>
    <xf numFmtId="167" fontId="20" fillId="0" borderId="0" xfId="12" applyNumberFormat="1" applyFont="1"/>
    <xf numFmtId="0" fontId="0" fillId="0" borderId="0" xfId="0" applyAlignment="1">
      <alignment horizontal="right" wrapText="1"/>
    </xf>
    <xf numFmtId="0" fontId="4" fillId="0" borderId="0" xfId="7" applyNumberFormat="1" applyAlignment="1">
      <alignment horizontal="center"/>
    </xf>
    <xf numFmtId="0" fontId="4" fillId="0" borderId="0" xfId="7" applyAlignment="1">
      <alignment wrapText="1"/>
    </xf>
    <xf numFmtId="44" fontId="9" fillId="0" borderId="0" xfId="2" applyFont="1"/>
    <xf numFmtId="0" fontId="0" fillId="0" borderId="0" xfId="0" applyAlignment="1">
      <alignment horizontal="center" vertical="center" wrapText="1"/>
    </xf>
    <xf numFmtId="180" fontId="1" fillId="0" borderId="0" xfId="0" applyNumberFormat="1" applyFont="1" applyAlignment="1">
      <alignment wrapText="1"/>
    </xf>
    <xf numFmtId="167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center" wrapText="1"/>
    </xf>
    <xf numFmtId="0" fontId="7" fillId="2" borderId="0" xfId="0" applyFont="1" applyFill="1" applyAlignment="1">
      <alignment horizontal="right" wrapText="1"/>
    </xf>
    <xf numFmtId="1" fontId="1" fillId="0" borderId="0" xfId="0" applyNumberFormat="1" applyFont="1" applyAlignment="1">
      <alignment horizontal="center" wrapText="1"/>
    </xf>
    <xf numFmtId="43" fontId="0" fillId="0" borderId="0" xfId="1" applyFont="1"/>
    <xf numFmtId="181" fontId="0" fillId="0" borderId="0" xfId="1" applyNumberFormat="1" applyFont="1"/>
    <xf numFmtId="9" fontId="0" fillId="0" borderId="0" xfId="3" applyFont="1"/>
    <xf numFmtId="0" fontId="76" fillId="0" borderId="0" xfId="0" applyFont="1" applyAlignment="1">
      <alignment horizontal="center" vertical="center" wrapText="1"/>
    </xf>
    <xf numFmtId="0" fontId="76" fillId="0" borderId="0" xfId="0" applyFont="1"/>
    <xf numFmtId="180" fontId="0" fillId="0" borderId="0" xfId="0" applyNumberFormat="1"/>
    <xf numFmtId="0" fontId="78" fillId="0" borderId="0" xfId="0" applyFont="1" applyAlignment="1">
      <alignment horizontal="center" vertical="center"/>
    </xf>
    <xf numFmtId="166" fontId="7" fillId="2" borderId="0" xfId="1" applyNumberFormat="1" applyFont="1" applyFill="1"/>
    <xf numFmtId="0" fontId="6" fillId="0" borderId="0" xfId="0" applyFont="1" applyAlignment="1">
      <alignment horizontal="left"/>
    </xf>
    <xf numFmtId="180" fontId="0" fillId="0" borderId="0" xfId="1" applyNumberFormat="1" applyFont="1"/>
    <xf numFmtId="180" fontId="0" fillId="0" borderId="0" xfId="0" applyNumberFormat="1" applyAlignment="1">
      <alignment horizontal="center" vertical="center"/>
    </xf>
    <xf numFmtId="180" fontId="73" fillId="62" borderId="110" xfId="500" applyNumberFormat="1" applyAlignment="1"/>
    <xf numFmtId="180" fontId="74" fillId="63" borderId="110" xfId="501" applyNumberFormat="1" applyAlignment="1"/>
    <xf numFmtId="180" fontId="77" fillId="0" borderId="0" xfId="1" applyNumberFormat="1" applyFont="1" applyFill="1" applyAlignment="1"/>
    <xf numFmtId="180" fontId="75" fillId="64" borderId="0" xfId="1" applyNumberFormat="1" applyFont="1" applyFill="1" applyAlignment="1"/>
    <xf numFmtId="0" fontId="0" fillId="0" borderId="0" xfId="1" applyNumberFormat="1" applyFont="1"/>
    <xf numFmtId="181" fontId="0" fillId="0" borderId="0" xfId="0" applyNumberFormat="1"/>
    <xf numFmtId="181" fontId="9" fillId="0" borderId="0" xfId="1" applyNumberFormat="1" applyFont="1"/>
    <xf numFmtId="181" fontId="9" fillId="0" borderId="4" xfId="1" applyNumberFormat="1" applyFont="1" applyBorder="1"/>
    <xf numFmtId="181" fontId="9" fillId="0" borderId="0" xfId="1" applyNumberFormat="1" applyFont="1" applyBorder="1"/>
    <xf numFmtId="181" fontId="9" fillId="0" borderId="5" xfId="1" applyNumberFormat="1" applyFont="1" applyBorder="1"/>
    <xf numFmtId="181" fontId="9" fillId="0" borderId="0" xfId="0" applyNumberFormat="1" applyFont="1"/>
    <xf numFmtId="181" fontId="0" fillId="0" borderId="0" xfId="3" applyNumberFormat="1" applyFont="1"/>
    <xf numFmtId="181" fontId="1" fillId="0" borderId="0" xfId="0" applyNumberFormat="1" applyFont="1" applyAlignment="1">
      <alignment wrapText="1"/>
    </xf>
    <xf numFmtId="181" fontId="1" fillId="0" borderId="0" xfId="0" applyNumberFormat="1" applyFont="1"/>
    <xf numFmtId="0" fontId="79" fillId="0" borderId="0" xfId="0" applyFont="1"/>
    <xf numFmtId="181" fontId="7" fillId="2" borderId="0" xfId="1" applyNumberFormat="1" applyFont="1" applyFill="1"/>
    <xf numFmtId="171" fontId="1" fillId="0" borderId="4" xfId="1" applyNumberFormat="1" applyFont="1" applyBorder="1"/>
    <xf numFmtId="171" fontId="1" fillId="0" borderId="0" xfId="1" applyNumberFormat="1" applyFont="1" applyBorder="1"/>
    <xf numFmtId="171" fontId="1" fillId="0" borderId="5" xfId="1" applyNumberFormat="1" applyFont="1" applyBorder="1"/>
    <xf numFmtId="171" fontId="1" fillId="0" borderId="69" xfId="1" applyNumberFormat="1" applyFont="1" applyBorder="1"/>
    <xf numFmtId="165" fontId="7" fillId="0" borderId="0" xfId="2" applyNumberFormat="1" applyFont="1" applyFill="1" applyAlignment="1">
      <alignment wrapText="1"/>
    </xf>
    <xf numFmtId="165" fontId="1" fillId="0" borderId="0" xfId="2" applyNumberFormat="1" applyFont="1" applyFill="1" applyAlignment="1">
      <alignment wrapText="1"/>
    </xf>
    <xf numFmtId="0" fontId="80" fillId="0" borderId="0" xfId="0" applyFont="1"/>
    <xf numFmtId="0" fontId="1" fillId="0" borderId="0" xfId="0" applyFont="1" applyAlignment="1">
      <alignment horizontal="center" vertical="center"/>
    </xf>
    <xf numFmtId="165" fontId="81" fillId="63" borderId="110" xfId="501" applyNumberFormat="1" applyFont="1"/>
    <xf numFmtId="0" fontId="1" fillId="0" borderId="0" xfId="0" applyFont="1" applyAlignment="1">
      <alignment horizontal="center" vertical="center" wrapText="1"/>
    </xf>
    <xf numFmtId="166" fontId="81" fillId="63" borderId="110" xfId="1" applyNumberFormat="1" applyFont="1" applyFill="1" applyBorder="1"/>
    <xf numFmtId="9" fontId="81" fillId="63" borderId="110" xfId="3" applyFont="1" applyFill="1" applyBorder="1"/>
    <xf numFmtId="2" fontId="7" fillId="0" borderId="0" xfId="0" applyNumberFormat="1" applyFont="1"/>
    <xf numFmtId="165" fontId="6" fillId="0" borderId="0" xfId="0" applyNumberFormat="1" applyFont="1" applyAlignment="1">
      <alignment wrapText="1"/>
    </xf>
    <xf numFmtId="167" fontId="22" fillId="0" borderId="0" xfId="3" applyNumberFormat="1" applyFont="1" applyFill="1" applyBorder="1"/>
    <xf numFmtId="182" fontId="1" fillId="0" borderId="0" xfId="0" applyNumberFormat="1" applyFont="1" applyAlignment="1">
      <alignment wrapText="1"/>
    </xf>
    <xf numFmtId="182" fontId="0" fillId="0" borderId="0" xfId="0" applyNumberFormat="1"/>
    <xf numFmtId="0" fontId="1" fillId="0" borderId="109" xfId="0" applyFont="1" applyBorder="1"/>
    <xf numFmtId="43" fontId="81" fillId="63" borderId="110" xfId="1" applyFont="1" applyFill="1" applyBorder="1"/>
    <xf numFmtId="37" fontId="4" fillId="60" borderId="0" xfId="7" applyNumberFormat="1" applyFill="1" applyBorder="1" applyAlignment="1">
      <alignment horizontal="center"/>
    </xf>
    <xf numFmtId="0" fontId="2" fillId="0" borderId="6" xfId="4" applyAlignment="1">
      <alignment horizontal="left"/>
    </xf>
    <xf numFmtId="5" fontId="4" fillId="17" borderId="8" xfId="6" applyNumberFormat="1" applyFill="1" applyAlignment="1">
      <alignment horizontal="center"/>
    </xf>
    <xf numFmtId="0" fontId="1" fillId="0" borderId="109" xfId="0" applyFont="1" applyBorder="1" applyAlignment="1">
      <alignment horizontal="center" wrapText="1"/>
    </xf>
    <xf numFmtId="0" fontId="7" fillId="61" borderId="109" xfId="0" applyFont="1" applyFill="1" applyBorder="1" applyAlignment="1">
      <alignment horizontal="center" wrapText="1"/>
    </xf>
    <xf numFmtId="0" fontId="1" fillId="0" borderId="109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7" fillId="0" borderId="109" xfId="0" applyFont="1" applyBorder="1" applyAlignment="1">
      <alignment horizontal="center" wrapText="1"/>
    </xf>
    <xf numFmtId="0" fontId="7" fillId="61" borderId="0" xfId="0" applyFont="1" applyFill="1" applyAlignment="1">
      <alignment horizontal="center" wrapText="1"/>
    </xf>
    <xf numFmtId="0" fontId="1" fillId="0" borderId="0" xfId="0" applyFont="1" applyAlignment="1">
      <alignment horizontal="center" wrapText="1"/>
    </xf>
    <xf numFmtId="0" fontId="4" fillId="0" borderId="0" xfId="7" applyAlignment="1">
      <alignment horizontal="left" wrapText="1"/>
    </xf>
    <xf numFmtId="0" fontId="6" fillId="0" borderId="0" xfId="0" applyFont="1" applyAlignment="1">
      <alignment horizontal="center" wrapText="1"/>
    </xf>
    <xf numFmtId="166" fontId="0" fillId="0" borderId="0" xfId="1" applyNumberFormat="1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6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6" fillId="0" borderId="109" xfId="0" applyFont="1" applyBorder="1" applyAlignment="1">
      <alignment horizontal="center" wrapText="1"/>
    </xf>
    <xf numFmtId="167" fontId="1" fillId="0" borderId="0" xfId="3" applyNumberFormat="1" applyFont="1" applyAlignment="1">
      <alignment horizontal="center" wrapText="1"/>
    </xf>
    <xf numFmtId="167" fontId="0" fillId="0" borderId="0" xfId="3" applyNumberFormat="1" applyFont="1" applyAlignment="1">
      <alignment horizontal="center" wrapText="1"/>
    </xf>
    <xf numFmtId="0" fontId="0" fillId="0" borderId="0" xfId="0" applyAlignment="1">
      <alignment horizontal="center" vertical="center"/>
    </xf>
    <xf numFmtId="0" fontId="6" fillId="0" borderId="10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" fillId="0" borderId="0" xfId="2" applyNumberFormat="1" applyFont="1" applyAlignment="1">
      <alignment horizontal="left" vertical="center"/>
    </xf>
  </cellXfs>
  <cellStyles count="502">
    <cellStyle name="20% - Accent1 2" xfId="29" xr:uid="{00000000-0005-0000-0000-000000000000}"/>
    <cellStyle name="20% - Accent2 2" xfId="30" xr:uid="{00000000-0005-0000-0000-000001000000}"/>
    <cellStyle name="20% - Accent3 2" xfId="31" xr:uid="{00000000-0005-0000-0000-000002000000}"/>
    <cellStyle name="20% - Accent4 2" xfId="32" xr:uid="{00000000-0005-0000-0000-000003000000}"/>
    <cellStyle name="20% - Accent5 2" xfId="33" xr:uid="{00000000-0005-0000-0000-000004000000}"/>
    <cellStyle name="20% - Accent6 2" xfId="34" xr:uid="{00000000-0005-0000-0000-000005000000}"/>
    <cellStyle name="40% - Accent1 2" xfId="35" xr:uid="{00000000-0005-0000-0000-000006000000}"/>
    <cellStyle name="40% - Accent2 2" xfId="36" xr:uid="{00000000-0005-0000-0000-000007000000}"/>
    <cellStyle name="40% - Accent3 2" xfId="37" xr:uid="{00000000-0005-0000-0000-000008000000}"/>
    <cellStyle name="40% - Accent4 2" xfId="38" xr:uid="{00000000-0005-0000-0000-000009000000}"/>
    <cellStyle name="40% - Accent5 2" xfId="39" xr:uid="{00000000-0005-0000-0000-00000A000000}"/>
    <cellStyle name="40% - Accent6 2" xfId="40" xr:uid="{00000000-0005-0000-0000-00000B000000}"/>
    <cellStyle name="60% - Accent1 2" xfId="200" xr:uid="{00000000-0005-0000-0000-00000C000000}"/>
    <cellStyle name="60% - Accent2 2" xfId="201" xr:uid="{00000000-0005-0000-0000-00000D000000}"/>
    <cellStyle name="60% - Accent3 2" xfId="202" xr:uid="{00000000-0005-0000-0000-00000E000000}"/>
    <cellStyle name="60% - Accent4 2" xfId="203" xr:uid="{00000000-0005-0000-0000-00000F000000}"/>
    <cellStyle name="60% - Accent5 2" xfId="204" xr:uid="{00000000-0005-0000-0000-000010000000}"/>
    <cellStyle name="60% - Accent6 2" xfId="205" xr:uid="{00000000-0005-0000-0000-000011000000}"/>
    <cellStyle name="A2.Heading1" xfId="41" xr:uid="{00000000-0005-0000-0000-000012000000}"/>
    <cellStyle name="Accent1 - 20%" xfId="42" xr:uid="{00000000-0005-0000-0000-000013000000}"/>
    <cellStyle name="Accent1 - 40%" xfId="43" xr:uid="{00000000-0005-0000-0000-000014000000}"/>
    <cellStyle name="Accent1 - 60%" xfId="44" xr:uid="{00000000-0005-0000-0000-000015000000}"/>
    <cellStyle name="Accent1 2" xfId="206" xr:uid="{00000000-0005-0000-0000-000016000000}"/>
    <cellStyle name="Accent2 - 20%" xfId="45" xr:uid="{00000000-0005-0000-0000-000017000000}"/>
    <cellStyle name="Accent2 - 40%" xfId="46" xr:uid="{00000000-0005-0000-0000-000018000000}"/>
    <cellStyle name="Accent2 - 60%" xfId="47" xr:uid="{00000000-0005-0000-0000-000019000000}"/>
    <cellStyle name="Accent2 2" xfId="207" xr:uid="{00000000-0005-0000-0000-00001A000000}"/>
    <cellStyle name="Accent3 - 20%" xfId="48" xr:uid="{00000000-0005-0000-0000-00001B000000}"/>
    <cellStyle name="Accent3 - 40%" xfId="49" xr:uid="{00000000-0005-0000-0000-00001C000000}"/>
    <cellStyle name="Accent3 - 60%" xfId="50" xr:uid="{00000000-0005-0000-0000-00001D000000}"/>
    <cellStyle name="Accent3 2" xfId="208" xr:uid="{00000000-0005-0000-0000-00001E000000}"/>
    <cellStyle name="Accent4 - 20%" xfId="51" xr:uid="{00000000-0005-0000-0000-00001F000000}"/>
    <cellStyle name="Accent4 - 40%" xfId="52" xr:uid="{00000000-0005-0000-0000-000020000000}"/>
    <cellStyle name="Accent4 - 60%" xfId="53" xr:uid="{00000000-0005-0000-0000-000021000000}"/>
    <cellStyle name="Accent4 2" xfId="209" xr:uid="{00000000-0005-0000-0000-000022000000}"/>
    <cellStyle name="Accent5 - 20%" xfId="54" xr:uid="{00000000-0005-0000-0000-000023000000}"/>
    <cellStyle name="Accent5 - 40%" xfId="55" xr:uid="{00000000-0005-0000-0000-000024000000}"/>
    <cellStyle name="Accent5 - 60%" xfId="56" xr:uid="{00000000-0005-0000-0000-000025000000}"/>
    <cellStyle name="Accent5 2" xfId="210" xr:uid="{00000000-0005-0000-0000-000026000000}"/>
    <cellStyle name="Accent6 - 20%" xfId="57" xr:uid="{00000000-0005-0000-0000-000027000000}"/>
    <cellStyle name="Accent6 - 40%" xfId="58" xr:uid="{00000000-0005-0000-0000-000028000000}"/>
    <cellStyle name="Accent6 - 60%" xfId="59" xr:uid="{00000000-0005-0000-0000-000029000000}"/>
    <cellStyle name="Accent6 2" xfId="211" xr:uid="{00000000-0005-0000-0000-00002A000000}"/>
    <cellStyle name="Bad 2" xfId="212" xr:uid="{00000000-0005-0000-0000-00002B000000}"/>
    <cellStyle name="Calculation" xfId="501" builtinId="22"/>
    <cellStyle name="Calculation 2" xfId="213" xr:uid="{00000000-0005-0000-0000-00002C000000}"/>
    <cellStyle name="Calculation 2 2" xfId="214" xr:uid="{00000000-0005-0000-0000-00002D000000}"/>
    <cellStyle name="Calculation 2 2 2" xfId="341" xr:uid="{00000000-0005-0000-0000-00002E000000}"/>
    <cellStyle name="Calculation 2 2 3" xfId="276" xr:uid="{00000000-0005-0000-0000-00002F000000}"/>
    <cellStyle name="Calculation 2 2 4" xfId="282" xr:uid="{00000000-0005-0000-0000-000030000000}"/>
    <cellStyle name="Calculation 2 2 5" xfId="346" xr:uid="{00000000-0005-0000-0000-000031000000}"/>
    <cellStyle name="Calculation 2 2 6" xfId="475" xr:uid="{00000000-0005-0000-0000-000032000000}"/>
    <cellStyle name="Calculation 2 3" xfId="340" xr:uid="{00000000-0005-0000-0000-000033000000}"/>
    <cellStyle name="Calculation 2 4" xfId="275" xr:uid="{00000000-0005-0000-0000-000034000000}"/>
    <cellStyle name="Calculation 2 5" xfId="356" xr:uid="{00000000-0005-0000-0000-000035000000}"/>
    <cellStyle name="Calculation 2 6" xfId="330" xr:uid="{00000000-0005-0000-0000-000036000000}"/>
    <cellStyle name="Calculation 2 7" xfId="474" xr:uid="{00000000-0005-0000-0000-000037000000}"/>
    <cellStyle name="Check Cell 2" xfId="215" xr:uid="{00000000-0005-0000-0000-000038000000}"/>
    <cellStyle name="Comma" xfId="1" builtinId="3"/>
    <cellStyle name="Comma 10" xfId="60" xr:uid="{00000000-0005-0000-0000-00003A000000}"/>
    <cellStyle name="Comma 11" xfId="19" xr:uid="{00000000-0005-0000-0000-00003B000000}"/>
    <cellStyle name="Comma 2" xfId="27" xr:uid="{00000000-0005-0000-0000-00003C000000}"/>
    <cellStyle name="Comma 2 2" xfId="61" xr:uid="{00000000-0005-0000-0000-00003D000000}"/>
    <cellStyle name="Comma 2 2 2" xfId="62" xr:uid="{00000000-0005-0000-0000-00003E000000}"/>
    <cellStyle name="Comma 2 3" xfId="63" xr:uid="{00000000-0005-0000-0000-00003F000000}"/>
    <cellStyle name="Comma 2 4" xfId="64" xr:uid="{00000000-0005-0000-0000-000040000000}"/>
    <cellStyle name="Comma 3" xfId="65" xr:uid="{00000000-0005-0000-0000-000041000000}"/>
    <cellStyle name="Comma 3 2" xfId="66" xr:uid="{00000000-0005-0000-0000-000042000000}"/>
    <cellStyle name="Comma 4" xfId="67" xr:uid="{00000000-0005-0000-0000-000043000000}"/>
    <cellStyle name="Comma 4 2" xfId="68" xr:uid="{00000000-0005-0000-0000-000044000000}"/>
    <cellStyle name="Comma 5" xfId="69" xr:uid="{00000000-0005-0000-0000-000045000000}"/>
    <cellStyle name="Comma 6" xfId="70" xr:uid="{00000000-0005-0000-0000-000046000000}"/>
    <cellStyle name="Comma 7" xfId="71" xr:uid="{00000000-0005-0000-0000-000047000000}"/>
    <cellStyle name="Comma 8" xfId="72" xr:uid="{00000000-0005-0000-0000-000048000000}"/>
    <cellStyle name="Comma 9" xfId="73" xr:uid="{00000000-0005-0000-0000-000049000000}"/>
    <cellStyle name="Currency" xfId="2" builtinId="4"/>
    <cellStyle name="Currency 2" xfId="18" xr:uid="{00000000-0005-0000-0000-00004B000000}"/>
    <cellStyle name="Currency 2 2" xfId="74" xr:uid="{00000000-0005-0000-0000-00004C000000}"/>
    <cellStyle name="Currency 2 3" xfId="26" xr:uid="{00000000-0005-0000-0000-00004D000000}"/>
    <cellStyle name="Currency 3" xfId="22" xr:uid="{00000000-0005-0000-0000-00004E000000}"/>
    <cellStyle name="Currency 4" xfId="75" xr:uid="{00000000-0005-0000-0000-00004F000000}"/>
    <cellStyle name="Currency 5" xfId="76" xr:uid="{00000000-0005-0000-0000-000050000000}"/>
    <cellStyle name="Currency 6" xfId="235" xr:uid="{00000000-0005-0000-0000-000051000000}"/>
    <cellStyle name="Date" xfId="77" xr:uid="{00000000-0005-0000-0000-000052000000}"/>
    <cellStyle name="Emphasis 1" xfId="78" xr:uid="{00000000-0005-0000-0000-000053000000}"/>
    <cellStyle name="Emphasis 2" xfId="79" xr:uid="{00000000-0005-0000-0000-000054000000}"/>
    <cellStyle name="Emphasis 3" xfId="80" xr:uid="{00000000-0005-0000-0000-000055000000}"/>
    <cellStyle name="Explanatory Text" xfId="8" builtinId="53"/>
    <cellStyle name="Explanatory Text 2" xfId="216" xr:uid="{00000000-0005-0000-0000-000057000000}"/>
    <cellStyle name="Fixed" xfId="81" xr:uid="{00000000-0005-0000-0000-000058000000}"/>
    <cellStyle name="Good 2" xfId="217" xr:uid="{00000000-0005-0000-0000-000059000000}"/>
    <cellStyle name="Heading 1" xfId="4" builtinId="16" customBuiltin="1"/>
    <cellStyle name="Heading 1 2" xfId="13" xr:uid="{00000000-0005-0000-0000-00005B000000}"/>
    <cellStyle name="Heading 1 2 10" xfId="410" xr:uid="{00000000-0005-0000-0000-00005C000000}"/>
    <cellStyle name="Heading 1 2 11" xfId="463" xr:uid="{00000000-0005-0000-0000-00005D000000}"/>
    <cellStyle name="Heading 1 2 12" xfId="460" xr:uid="{00000000-0005-0000-0000-00005E000000}"/>
    <cellStyle name="Heading 1 2 13" xfId="429" xr:uid="{00000000-0005-0000-0000-00005F000000}"/>
    <cellStyle name="Heading 1 2 14" xfId="468" xr:uid="{00000000-0005-0000-0000-000060000000}"/>
    <cellStyle name="Heading 1 2 15" xfId="471" xr:uid="{00000000-0005-0000-0000-000061000000}"/>
    <cellStyle name="Heading 1 2 16" xfId="451" xr:uid="{00000000-0005-0000-0000-000062000000}"/>
    <cellStyle name="Heading 1 2 17" xfId="483" xr:uid="{00000000-0005-0000-0000-000063000000}"/>
    <cellStyle name="Heading 1 2 18" xfId="485" xr:uid="{00000000-0005-0000-0000-000064000000}"/>
    <cellStyle name="Heading 1 2 19" xfId="486" xr:uid="{00000000-0005-0000-0000-000065000000}"/>
    <cellStyle name="Heading 1 2 2" xfId="218" xr:uid="{00000000-0005-0000-0000-000066000000}"/>
    <cellStyle name="Heading 1 2 20" xfId="490" xr:uid="{00000000-0005-0000-0000-000067000000}"/>
    <cellStyle name="Heading 1 2 21" xfId="499" xr:uid="{00000000-0005-0000-0000-000068000000}"/>
    <cellStyle name="Heading 1 2 22" xfId="496" xr:uid="{00000000-0005-0000-0000-000069000000}"/>
    <cellStyle name="Heading 1 2 3" xfId="344" xr:uid="{00000000-0005-0000-0000-00006A000000}"/>
    <cellStyle name="Heading 1 2 4" xfId="362" xr:uid="{00000000-0005-0000-0000-00006B000000}"/>
    <cellStyle name="Heading 1 2 5" xfId="252" xr:uid="{00000000-0005-0000-0000-00006C000000}"/>
    <cellStyle name="Heading 1 2 6" xfId="387" xr:uid="{00000000-0005-0000-0000-00006D000000}"/>
    <cellStyle name="Heading 1 2 7" xfId="399" xr:uid="{00000000-0005-0000-0000-00006E000000}"/>
    <cellStyle name="Heading 1 2 8" xfId="396" xr:uid="{00000000-0005-0000-0000-00006F000000}"/>
    <cellStyle name="Heading 1 2 9" xfId="413" xr:uid="{00000000-0005-0000-0000-000070000000}"/>
    <cellStyle name="Heading 2" xfId="5" builtinId="17" customBuiltin="1"/>
    <cellStyle name="Heading 2 2" xfId="14" xr:uid="{00000000-0005-0000-0000-000072000000}"/>
    <cellStyle name="Heading 2 2 10" xfId="409" xr:uid="{00000000-0005-0000-0000-000073000000}"/>
    <cellStyle name="Heading 2 2 11" xfId="464" xr:uid="{00000000-0005-0000-0000-000074000000}"/>
    <cellStyle name="Heading 2 2 12" xfId="459" xr:uid="{00000000-0005-0000-0000-000075000000}"/>
    <cellStyle name="Heading 2 2 13" xfId="430" xr:uid="{00000000-0005-0000-0000-000076000000}"/>
    <cellStyle name="Heading 2 2 14" xfId="469" xr:uid="{00000000-0005-0000-0000-000077000000}"/>
    <cellStyle name="Heading 2 2 15" xfId="435" xr:uid="{00000000-0005-0000-0000-000078000000}"/>
    <cellStyle name="Heading 2 2 16" xfId="452" xr:uid="{00000000-0005-0000-0000-000079000000}"/>
    <cellStyle name="Heading 2 2 17" xfId="484" xr:uid="{00000000-0005-0000-0000-00007A000000}"/>
    <cellStyle name="Heading 2 2 18" xfId="497" xr:uid="{00000000-0005-0000-0000-00007B000000}"/>
    <cellStyle name="Heading 2 2 19" xfId="487" xr:uid="{00000000-0005-0000-0000-00007C000000}"/>
    <cellStyle name="Heading 2 2 2" xfId="219" xr:uid="{00000000-0005-0000-0000-00007D000000}"/>
    <cellStyle name="Heading 2 2 20" xfId="489" xr:uid="{00000000-0005-0000-0000-00007E000000}"/>
    <cellStyle name="Heading 2 2 21" xfId="491" xr:uid="{00000000-0005-0000-0000-00007F000000}"/>
    <cellStyle name="Heading 2 2 22" xfId="495" xr:uid="{00000000-0005-0000-0000-000080000000}"/>
    <cellStyle name="Heading 2 2 3" xfId="345" xr:uid="{00000000-0005-0000-0000-000081000000}"/>
    <cellStyle name="Heading 2 2 4" xfId="363" xr:uid="{00000000-0005-0000-0000-000082000000}"/>
    <cellStyle name="Heading 2 2 5" xfId="334" xr:uid="{00000000-0005-0000-0000-000083000000}"/>
    <cellStyle name="Heading 2 2 6" xfId="388" xr:uid="{00000000-0005-0000-0000-000084000000}"/>
    <cellStyle name="Heading 2 2 7" xfId="400" xr:uid="{00000000-0005-0000-0000-000085000000}"/>
    <cellStyle name="Heading 2 2 8" xfId="395" xr:uid="{00000000-0005-0000-0000-000086000000}"/>
    <cellStyle name="Heading 2 2 9" xfId="414" xr:uid="{00000000-0005-0000-0000-000087000000}"/>
    <cellStyle name="Heading 3" xfId="6" builtinId="18" customBuiltin="1"/>
    <cellStyle name="Heading 3 2" xfId="15" xr:uid="{00000000-0005-0000-0000-000089000000}"/>
    <cellStyle name="Heading 3 2 2" xfId="221" xr:uid="{00000000-0005-0000-0000-00008A000000}"/>
    <cellStyle name="Heading 3 2 2 2" xfId="365" xr:uid="{00000000-0005-0000-0000-00008B000000}"/>
    <cellStyle name="Heading 3 2 2 3" xfId="416" xr:uid="{00000000-0005-0000-0000-00008C000000}"/>
    <cellStyle name="Heading 3 2 2 4" xfId="466" xr:uid="{00000000-0005-0000-0000-00008D000000}"/>
    <cellStyle name="Heading 3 2 2 5" xfId="436" xr:uid="{00000000-0005-0000-0000-00008E000000}"/>
    <cellStyle name="Heading 3 2 2 6" xfId="488" xr:uid="{00000000-0005-0000-0000-00008F000000}"/>
    <cellStyle name="Heading 3 2 2 7" xfId="492" xr:uid="{00000000-0005-0000-0000-000090000000}"/>
    <cellStyle name="Heading 3 2 3" xfId="220" xr:uid="{00000000-0005-0000-0000-000091000000}"/>
    <cellStyle name="Heading 3 2 4" xfId="364" xr:uid="{00000000-0005-0000-0000-000092000000}"/>
    <cellStyle name="Heading 3 2 5" xfId="415" xr:uid="{00000000-0005-0000-0000-000093000000}"/>
    <cellStyle name="Heading 3 2 6" xfId="465" xr:uid="{00000000-0005-0000-0000-000094000000}"/>
    <cellStyle name="Heading 3 2 7" xfId="445" xr:uid="{00000000-0005-0000-0000-000095000000}"/>
    <cellStyle name="Heading 3 2 8" xfId="498" xr:uid="{00000000-0005-0000-0000-000096000000}"/>
    <cellStyle name="Heading 3 2 9" xfId="493" xr:uid="{00000000-0005-0000-0000-000097000000}"/>
    <cellStyle name="Heading 4" xfId="7" builtinId="19"/>
    <cellStyle name="Heading 4 2" xfId="16" xr:uid="{00000000-0005-0000-0000-000099000000}"/>
    <cellStyle name="Heading 4 2 2" xfId="222" xr:uid="{00000000-0005-0000-0000-00009A000000}"/>
    <cellStyle name="Heading1" xfId="82" xr:uid="{00000000-0005-0000-0000-00009B000000}"/>
    <cellStyle name="Heading2" xfId="83" xr:uid="{00000000-0005-0000-0000-00009C000000}"/>
    <cellStyle name="Hyperlink 2" xfId="17" xr:uid="{00000000-0005-0000-0000-00009D000000}"/>
    <cellStyle name="Hyperlink 2 2" xfId="23" xr:uid="{00000000-0005-0000-0000-00009E000000}"/>
    <cellStyle name="Hyperlink 3" xfId="20" xr:uid="{00000000-0005-0000-0000-00009F000000}"/>
    <cellStyle name="Input" xfId="500" builtinId="20"/>
    <cellStyle name="Input 2" xfId="223" xr:uid="{00000000-0005-0000-0000-0000A0000000}"/>
    <cellStyle name="Input 2 2" xfId="224" xr:uid="{00000000-0005-0000-0000-0000A1000000}"/>
    <cellStyle name="Input 2 2 2" xfId="348" xr:uid="{00000000-0005-0000-0000-0000A2000000}"/>
    <cellStyle name="Input 2 2 3" xfId="377" xr:uid="{00000000-0005-0000-0000-0000A3000000}"/>
    <cellStyle name="Input 2 2 4" xfId="393" xr:uid="{00000000-0005-0000-0000-0000A4000000}"/>
    <cellStyle name="Input 2 2 5" xfId="273" xr:uid="{00000000-0005-0000-0000-0000A5000000}"/>
    <cellStyle name="Input 2 2 6" xfId="477" xr:uid="{00000000-0005-0000-0000-0000A6000000}"/>
    <cellStyle name="Input 2 3" xfId="347" xr:uid="{00000000-0005-0000-0000-0000A7000000}"/>
    <cellStyle name="Input 2 4" xfId="376" xr:uid="{00000000-0005-0000-0000-0000A8000000}"/>
    <cellStyle name="Input 2 5" xfId="256" xr:uid="{00000000-0005-0000-0000-0000A9000000}"/>
    <cellStyle name="Input 2 6" xfId="394" xr:uid="{00000000-0005-0000-0000-0000AA000000}"/>
    <cellStyle name="Input 2 7" xfId="476" xr:uid="{00000000-0005-0000-0000-0000AB000000}"/>
    <cellStyle name="Linked Cell 2" xfId="225" xr:uid="{00000000-0005-0000-0000-0000AC000000}"/>
    <cellStyle name="Milliers 2" xfId="84" xr:uid="{00000000-0005-0000-0000-0000AD000000}"/>
    <cellStyle name="Monétaire 2" xfId="85" xr:uid="{00000000-0005-0000-0000-0000AE000000}"/>
    <cellStyle name="Neutral 2" xfId="226" xr:uid="{00000000-0005-0000-0000-0000AF000000}"/>
    <cellStyle name="Neutral 3" xfId="236" xr:uid="{00000000-0005-0000-0000-0000B0000000}"/>
    <cellStyle name="Normal" xfId="0" builtinId="0"/>
    <cellStyle name="Normal 10" xfId="86" xr:uid="{00000000-0005-0000-0000-0000B2000000}"/>
    <cellStyle name="Normal 11" xfId="87" xr:uid="{00000000-0005-0000-0000-0000B3000000}"/>
    <cellStyle name="Normal 12" xfId="88" xr:uid="{00000000-0005-0000-0000-0000B4000000}"/>
    <cellStyle name="Normal 13" xfId="89" xr:uid="{00000000-0005-0000-0000-0000B5000000}"/>
    <cellStyle name="Normal 14" xfId="90" xr:uid="{00000000-0005-0000-0000-0000B6000000}"/>
    <cellStyle name="Normal 15" xfId="91" xr:uid="{00000000-0005-0000-0000-0000B7000000}"/>
    <cellStyle name="Normal 16" xfId="92" xr:uid="{00000000-0005-0000-0000-0000B8000000}"/>
    <cellStyle name="Normal 17" xfId="93" xr:uid="{00000000-0005-0000-0000-0000B9000000}"/>
    <cellStyle name="Normal 18" xfId="234" xr:uid="{00000000-0005-0000-0000-0000BA000000}"/>
    <cellStyle name="Normal 2" xfId="10" xr:uid="{00000000-0005-0000-0000-0000BB000000}"/>
    <cellStyle name="Normal 2 2" xfId="21" xr:uid="{00000000-0005-0000-0000-0000BC000000}"/>
    <cellStyle name="Normal 2 2 2" xfId="94" xr:uid="{00000000-0005-0000-0000-0000BD000000}"/>
    <cellStyle name="Normal 2 2 3" xfId="95" xr:uid="{00000000-0005-0000-0000-0000BE000000}"/>
    <cellStyle name="Normal 2 2 4" xfId="96" xr:uid="{00000000-0005-0000-0000-0000BF000000}"/>
    <cellStyle name="Normal 2 3" xfId="97" xr:uid="{00000000-0005-0000-0000-0000C0000000}"/>
    <cellStyle name="Normal 2 3 13" xfId="179" xr:uid="{00000000-0005-0000-0000-0000C1000000}"/>
    <cellStyle name="Normal 2 3 19" xfId="180" xr:uid="{00000000-0005-0000-0000-0000C2000000}"/>
    <cellStyle name="Normal 2 3 2" xfId="98" xr:uid="{00000000-0005-0000-0000-0000C3000000}"/>
    <cellStyle name="Normal 2 3 5" xfId="181" xr:uid="{00000000-0005-0000-0000-0000C4000000}"/>
    <cellStyle name="Normal 2 4" xfId="24" xr:uid="{00000000-0005-0000-0000-0000C5000000}"/>
    <cellStyle name="Normal 28" xfId="99" xr:uid="{00000000-0005-0000-0000-0000C6000000}"/>
    <cellStyle name="Normal 28 2" xfId="100" xr:uid="{00000000-0005-0000-0000-0000C7000000}"/>
    <cellStyle name="Normal 3" xfId="11" xr:uid="{00000000-0005-0000-0000-0000C8000000}"/>
    <cellStyle name="Normal 3 2" xfId="101" xr:uid="{00000000-0005-0000-0000-0000C9000000}"/>
    <cellStyle name="Normal 3 3" xfId="102" xr:uid="{00000000-0005-0000-0000-0000CA000000}"/>
    <cellStyle name="Normal 3 3 2" xfId="103" xr:uid="{00000000-0005-0000-0000-0000CB000000}"/>
    <cellStyle name="Normal 3 4" xfId="25" xr:uid="{00000000-0005-0000-0000-0000CC000000}"/>
    <cellStyle name="Normal 32" xfId="104" xr:uid="{00000000-0005-0000-0000-0000CD000000}"/>
    <cellStyle name="Normal 32 2" xfId="105" xr:uid="{00000000-0005-0000-0000-0000CE000000}"/>
    <cellStyle name="Normal 34" xfId="106" xr:uid="{00000000-0005-0000-0000-0000CF000000}"/>
    <cellStyle name="Normal 34 2" xfId="107" xr:uid="{00000000-0005-0000-0000-0000D0000000}"/>
    <cellStyle name="Normal 36" xfId="108" xr:uid="{00000000-0005-0000-0000-0000D1000000}"/>
    <cellStyle name="Normal 36 2" xfId="109" xr:uid="{00000000-0005-0000-0000-0000D2000000}"/>
    <cellStyle name="Normal 4" xfId="110" xr:uid="{00000000-0005-0000-0000-0000D3000000}"/>
    <cellStyle name="Normal 4 2" xfId="111" xr:uid="{00000000-0005-0000-0000-0000D4000000}"/>
    <cellStyle name="Normal 42" xfId="112" xr:uid="{00000000-0005-0000-0000-0000D5000000}"/>
    <cellStyle name="Normal 42 2" xfId="113" xr:uid="{00000000-0005-0000-0000-0000D6000000}"/>
    <cellStyle name="Normal 49" xfId="114" xr:uid="{00000000-0005-0000-0000-0000D7000000}"/>
    <cellStyle name="Normal 49 2" xfId="115" xr:uid="{00000000-0005-0000-0000-0000D8000000}"/>
    <cellStyle name="Normal 49 3" xfId="116" xr:uid="{00000000-0005-0000-0000-0000D9000000}"/>
    <cellStyle name="Normal 5" xfId="117" xr:uid="{00000000-0005-0000-0000-0000DA000000}"/>
    <cellStyle name="Normal 5 10" xfId="182" xr:uid="{00000000-0005-0000-0000-0000DB000000}"/>
    <cellStyle name="Normal 5 12" xfId="183" xr:uid="{00000000-0005-0000-0000-0000DC000000}"/>
    <cellStyle name="Normal 5 15 5" xfId="184" xr:uid="{00000000-0005-0000-0000-0000DD000000}"/>
    <cellStyle name="Normal 5 15 6" xfId="185" xr:uid="{00000000-0005-0000-0000-0000DE000000}"/>
    <cellStyle name="Normal 5 15 7" xfId="186" xr:uid="{00000000-0005-0000-0000-0000DF000000}"/>
    <cellStyle name="Normal 5 16 2" xfId="187" xr:uid="{00000000-0005-0000-0000-0000E0000000}"/>
    <cellStyle name="Normal 5 16 4" xfId="188" xr:uid="{00000000-0005-0000-0000-0000E1000000}"/>
    <cellStyle name="Normal 5 2" xfId="118" xr:uid="{00000000-0005-0000-0000-0000E2000000}"/>
    <cellStyle name="Normal 5 21" xfId="189" xr:uid="{00000000-0005-0000-0000-0000E3000000}"/>
    <cellStyle name="Normal 5 22" xfId="190" xr:uid="{00000000-0005-0000-0000-0000E4000000}"/>
    <cellStyle name="Normal 5 23" xfId="191" xr:uid="{00000000-0005-0000-0000-0000E5000000}"/>
    <cellStyle name="Normal 5 27" xfId="192" xr:uid="{00000000-0005-0000-0000-0000E6000000}"/>
    <cellStyle name="Normal 5 29" xfId="193" xr:uid="{00000000-0005-0000-0000-0000E7000000}"/>
    <cellStyle name="Normal 5 3" xfId="119" xr:uid="{00000000-0005-0000-0000-0000E8000000}"/>
    <cellStyle name="Normal 5 30" xfId="194" xr:uid="{00000000-0005-0000-0000-0000E9000000}"/>
    <cellStyle name="Normal 5 31" xfId="195" xr:uid="{00000000-0005-0000-0000-0000EA000000}"/>
    <cellStyle name="Normal 5 32" xfId="196" xr:uid="{00000000-0005-0000-0000-0000EB000000}"/>
    <cellStyle name="Normal 5 4" xfId="197" xr:uid="{00000000-0005-0000-0000-0000EC000000}"/>
    <cellStyle name="Normal 5 8" xfId="198" xr:uid="{00000000-0005-0000-0000-0000ED000000}"/>
    <cellStyle name="Normal 5 9" xfId="199" xr:uid="{00000000-0005-0000-0000-0000EE000000}"/>
    <cellStyle name="Normal 6" xfId="120" xr:uid="{00000000-0005-0000-0000-0000EF000000}"/>
    <cellStyle name="Normal 69 2" xfId="121" xr:uid="{00000000-0005-0000-0000-0000F0000000}"/>
    <cellStyle name="Normal 7" xfId="122" xr:uid="{00000000-0005-0000-0000-0000F1000000}"/>
    <cellStyle name="Normal 70" xfId="123" xr:uid="{00000000-0005-0000-0000-0000F2000000}"/>
    <cellStyle name="Normal 70 2" xfId="124" xr:uid="{00000000-0005-0000-0000-0000F3000000}"/>
    <cellStyle name="Normal 70 3" xfId="125" xr:uid="{00000000-0005-0000-0000-0000F4000000}"/>
    <cellStyle name="Normal 8" xfId="126" xr:uid="{00000000-0005-0000-0000-0000F5000000}"/>
    <cellStyle name="Normal 9" xfId="127" xr:uid="{00000000-0005-0000-0000-0000F6000000}"/>
    <cellStyle name="Note 2" xfId="128" xr:uid="{00000000-0005-0000-0000-0000F7000000}"/>
    <cellStyle name="Note 2 2" xfId="227" xr:uid="{00000000-0005-0000-0000-0000F8000000}"/>
    <cellStyle name="Note 2 2 2" xfId="350" xr:uid="{00000000-0005-0000-0000-0000F9000000}"/>
    <cellStyle name="Note 2 2 3" xfId="380" xr:uid="{00000000-0005-0000-0000-0000FA000000}"/>
    <cellStyle name="Note 2 2 4" xfId="284" xr:uid="{00000000-0005-0000-0000-0000FB000000}"/>
    <cellStyle name="Note 2 2 5" xfId="251" xr:uid="{00000000-0005-0000-0000-0000FC000000}"/>
    <cellStyle name="Note 2 2 6" xfId="478" xr:uid="{00000000-0005-0000-0000-0000FD000000}"/>
    <cellStyle name="Output 2" xfId="228" xr:uid="{00000000-0005-0000-0000-0000FE000000}"/>
    <cellStyle name="Output 2 2" xfId="229" xr:uid="{00000000-0005-0000-0000-0000FF000000}"/>
    <cellStyle name="Output 2 2 2" xfId="352" xr:uid="{00000000-0005-0000-0000-000000010000}"/>
    <cellStyle name="Output 2 2 3" xfId="249" xr:uid="{00000000-0005-0000-0000-000001010000}"/>
    <cellStyle name="Output 2 2 4" xfId="360" xr:uid="{00000000-0005-0000-0000-000002010000}"/>
    <cellStyle name="Output 2 2 5" xfId="342" xr:uid="{00000000-0005-0000-0000-000003010000}"/>
    <cellStyle name="Output 2 2 6" xfId="480" xr:uid="{00000000-0005-0000-0000-000004010000}"/>
    <cellStyle name="Output 2 3" xfId="351" xr:uid="{00000000-0005-0000-0000-000005010000}"/>
    <cellStyle name="Output 2 4" xfId="250" xr:uid="{00000000-0005-0000-0000-000006010000}"/>
    <cellStyle name="Output 2 5" xfId="338" xr:uid="{00000000-0005-0000-0000-000007010000}"/>
    <cellStyle name="Output 2 6" xfId="368" xr:uid="{00000000-0005-0000-0000-000008010000}"/>
    <cellStyle name="Output 2 7" xfId="479" xr:uid="{00000000-0005-0000-0000-000009010000}"/>
    <cellStyle name="Percent" xfId="3" builtinId="5"/>
    <cellStyle name="Percent 2" xfId="12" xr:uid="{00000000-0005-0000-0000-00000B010000}"/>
    <cellStyle name="Percent 2 2" xfId="129" xr:uid="{00000000-0005-0000-0000-00000C010000}"/>
    <cellStyle name="Percent 2 3" xfId="130" xr:uid="{00000000-0005-0000-0000-00000D010000}"/>
    <cellStyle name="Percent 2 3 2" xfId="131" xr:uid="{00000000-0005-0000-0000-00000E010000}"/>
    <cellStyle name="Percent 2 4" xfId="28" xr:uid="{00000000-0005-0000-0000-00000F010000}"/>
    <cellStyle name="Percent 3" xfId="132" xr:uid="{00000000-0005-0000-0000-000010010000}"/>
    <cellStyle name="Percent 4" xfId="133" xr:uid="{00000000-0005-0000-0000-000011010000}"/>
    <cellStyle name="Pourcentage 2" xfId="134" xr:uid="{00000000-0005-0000-0000-000012010000}"/>
    <cellStyle name="SAPBEXaggData" xfId="135" xr:uid="{00000000-0005-0000-0000-000013010000}"/>
    <cellStyle name="SAPBEXaggData 2" xfId="290" xr:uid="{00000000-0005-0000-0000-000014010000}"/>
    <cellStyle name="SAPBEXaggData 3" xfId="280" xr:uid="{00000000-0005-0000-0000-000015010000}"/>
    <cellStyle name="SAPBEXaggData 4" xfId="379" xr:uid="{00000000-0005-0000-0000-000016010000}"/>
    <cellStyle name="SAPBEXaggData 5" xfId="408" xr:uid="{00000000-0005-0000-0000-000017010000}"/>
    <cellStyle name="SAPBEXaggData 6" xfId="472" xr:uid="{00000000-0005-0000-0000-000018010000}"/>
    <cellStyle name="SAPBEXaggDataEmph" xfId="136" xr:uid="{00000000-0005-0000-0000-000019010000}"/>
    <cellStyle name="SAPBEXaggDataEmph 2" xfId="291" xr:uid="{00000000-0005-0000-0000-00001A010000}"/>
    <cellStyle name="SAPBEXaggDataEmph 3" xfId="289" xr:uid="{00000000-0005-0000-0000-00001B010000}"/>
    <cellStyle name="SAPBEXaggDataEmph 4" xfId="239" xr:uid="{00000000-0005-0000-0000-00001C010000}"/>
    <cellStyle name="SAPBEXaggDataEmph 5" xfId="367" xr:uid="{00000000-0005-0000-0000-00001D010000}"/>
    <cellStyle name="SAPBEXaggDataEmph 6" xfId="424" xr:uid="{00000000-0005-0000-0000-00001E010000}"/>
    <cellStyle name="SAPBEXaggItem" xfId="137" xr:uid="{00000000-0005-0000-0000-00001F010000}"/>
    <cellStyle name="SAPBEXaggItem 2" xfId="292" xr:uid="{00000000-0005-0000-0000-000020010000}"/>
    <cellStyle name="SAPBEXaggItem 3" xfId="265" xr:uid="{00000000-0005-0000-0000-000021010000}"/>
    <cellStyle name="SAPBEXaggItem 4" xfId="286" xr:uid="{00000000-0005-0000-0000-000022010000}"/>
    <cellStyle name="SAPBEXaggItem 5" xfId="325" xr:uid="{00000000-0005-0000-0000-000023010000}"/>
    <cellStyle name="SAPBEXaggItem 6" xfId="432" xr:uid="{00000000-0005-0000-0000-000024010000}"/>
    <cellStyle name="SAPBEXaggItemX" xfId="138" xr:uid="{00000000-0005-0000-0000-000025010000}"/>
    <cellStyle name="SAPBEXaggItemX 2" xfId="293" xr:uid="{00000000-0005-0000-0000-000026010000}"/>
    <cellStyle name="SAPBEXaggItemX 3" xfId="306" xr:uid="{00000000-0005-0000-0000-000027010000}"/>
    <cellStyle name="SAPBEXaggItemX 4" xfId="381" xr:uid="{00000000-0005-0000-0000-000028010000}"/>
    <cellStyle name="SAPBEXaggItemX 5" xfId="366" xr:uid="{00000000-0005-0000-0000-000029010000}"/>
    <cellStyle name="SAPBEXaggItemX 6" xfId="457" xr:uid="{00000000-0005-0000-0000-00002A010000}"/>
    <cellStyle name="SAPBEXchaText" xfId="139" xr:uid="{00000000-0005-0000-0000-00002B010000}"/>
    <cellStyle name="SAPBEXexcBad7" xfId="140" xr:uid="{00000000-0005-0000-0000-00002C010000}"/>
    <cellStyle name="SAPBEXexcBad7 2" xfId="295" xr:uid="{00000000-0005-0000-0000-00002D010000}"/>
    <cellStyle name="SAPBEXexcBad7 3" xfId="332" xr:uid="{00000000-0005-0000-0000-00002E010000}"/>
    <cellStyle name="SAPBEXexcBad7 4" xfId="260" xr:uid="{00000000-0005-0000-0000-00002F010000}"/>
    <cellStyle name="SAPBEXexcBad7 5" xfId="274" xr:uid="{00000000-0005-0000-0000-000030010000}"/>
    <cellStyle name="SAPBEXexcBad7 6" xfId="453" xr:uid="{00000000-0005-0000-0000-000031010000}"/>
    <cellStyle name="SAPBEXexcBad8" xfId="141" xr:uid="{00000000-0005-0000-0000-000032010000}"/>
    <cellStyle name="SAPBEXexcBad8 2" xfId="296" xr:uid="{00000000-0005-0000-0000-000033010000}"/>
    <cellStyle name="SAPBEXexcBad8 3" xfId="333" xr:uid="{00000000-0005-0000-0000-000034010000}"/>
    <cellStyle name="SAPBEXexcBad8 4" xfId="259" xr:uid="{00000000-0005-0000-0000-000035010000}"/>
    <cellStyle name="SAPBEXexcBad8 5" xfId="281" xr:uid="{00000000-0005-0000-0000-000036010000}"/>
    <cellStyle name="SAPBEXexcBad8 6" xfId="458" xr:uid="{00000000-0005-0000-0000-000037010000}"/>
    <cellStyle name="SAPBEXexcBad9" xfId="142" xr:uid="{00000000-0005-0000-0000-000038010000}"/>
    <cellStyle name="SAPBEXexcBad9 2" xfId="297" xr:uid="{00000000-0005-0000-0000-000039010000}"/>
    <cellStyle name="SAPBEXexcBad9 3" xfId="253" xr:uid="{00000000-0005-0000-0000-00003A010000}"/>
    <cellStyle name="SAPBEXexcBad9 4" xfId="279" xr:uid="{00000000-0005-0000-0000-00003B010000}"/>
    <cellStyle name="SAPBEXexcBad9 5" xfId="343" xr:uid="{00000000-0005-0000-0000-00003C010000}"/>
    <cellStyle name="SAPBEXexcBad9 6" xfId="449" xr:uid="{00000000-0005-0000-0000-00003D010000}"/>
    <cellStyle name="SAPBEXexcCritical4" xfId="143" xr:uid="{00000000-0005-0000-0000-00003E010000}"/>
    <cellStyle name="SAPBEXexcCritical4 2" xfId="298" xr:uid="{00000000-0005-0000-0000-00003F010000}"/>
    <cellStyle name="SAPBEXexcCritical4 3" xfId="266" xr:uid="{00000000-0005-0000-0000-000040010000}"/>
    <cellStyle name="SAPBEXexcCritical4 4" xfId="405" xr:uid="{00000000-0005-0000-0000-000041010000}"/>
    <cellStyle name="SAPBEXexcCritical4 5" xfId="283" xr:uid="{00000000-0005-0000-0000-000042010000}"/>
    <cellStyle name="SAPBEXexcCritical4 6" xfId="425" xr:uid="{00000000-0005-0000-0000-000043010000}"/>
    <cellStyle name="SAPBEXexcCritical5" xfId="144" xr:uid="{00000000-0005-0000-0000-000044010000}"/>
    <cellStyle name="SAPBEXexcCritical5 2" xfId="299" xr:uid="{00000000-0005-0000-0000-000045010000}"/>
    <cellStyle name="SAPBEXexcCritical5 3" xfId="339" xr:uid="{00000000-0005-0000-0000-000046010000}"/>
    <cellStyle name="SAPBEXexcCritical5 4" xfId="407" xr:uid="{00000000-0005-0000-0000-000047010000}"/>
    <cellStyle name="SAPBEXexcCritical5 5" xfId="420" xr:uid="{00000000-0005-0000-0000-000048010000}"/>
    <cellStyle name="SAPBEXexcCritical5 6" xfId="448" xr:uid="{00000000-0005-0000-0000-000049010000}"/>
    <cellStyle name="SAPBEXexcCritical6" xfId="145" xr:uid="{00000000-0005-0000-0000-00004A010000}"/>
    <cellStyle name="SAPBEXexcCritical6 2" xfId="300" xr:uid="{00000000-0005-0000-0000-00004B010000}"/>
    <cellStyle name="SAPBEXexcCritical6 3" xfId="267" xr:uid="{00000000-0005-0000-0000-00004C010000}"/>
    <cellStyle name="SAPBEXexcCritical6 4" xfId="357" xr:uid="{00000000-0005-0000-0000-00004D010000}"/>
    <cellStyle name="SAPBEXexcCritical6 5" xfId="421" xr:uid="{00000000-0005-0000-0000-00004E010000}"/>
    <cellStyle name="SAPBEXexcCritical6 6" xfId="433" xr:uid="{00000000-0005-0000-0000-00004F010000}"/>
    <cellStyle name="SAPBEXexcGood1" xfId="146" xr:uid="{00000000-0005-0000-0000-000050010000}"/>
    <cellStyle name="SAPBEXexcGood1 2" xfId="301" xr:uid="{00000000-0005-0000-0000-000051010000}"/>
    <cellStyle name="SAPBEXexcGood1 3" xfId="335" xr:uid="{00000000-0005-0000-0000-000052010000}"/>
    <cellStyle name="SAPBEXexcGood1 4" xfId="378" xr:uid="{00000000-0005-0000-0000-000053010000}"/>
    <cellStyle name="SAPBEXexcGood1 5" xfId="285" xr:uid="{00000000-0005-0000-0000-000054010000}"/>
    <cellStyle name="SAPBEXexcGood1 6" xfId="455" xr:uid="{00000000-0005-0000-0000-000055010000}"/>
    <cellStyle name="SAPBEXexcGood2" xfId="147" xr:uid="{00000000-0005-0000-0000-000056010000}"/>
    <cellStyle name="SAPBEXexcGood2 2" xfId="302" xr:uid="{00000000-0005-0000-0000-000057010000}"/>
    <cellStyle name="SAPBEXexcGood2 3" xfId="268" xr:uid="{00000000-0005-0000-0000-000058010000}"/>
    <cellStyle name="SAPBEXexcGood2 4" xfId="404" xr:uid="{00000000-0005-0000-0000-000059010000}"/>
    <cellStyle name="SAPBEXexcGood2 5" xfId="382" xr:uid="{00000000-0005-0000-0000-00005A010000}"/>
    <cellStyle name="SAPBEXexcGood2 6" xfId="442" xr:uid="{00000000-0005-0000-0000-00005B010000}"/>
    <cellStyle name="SAPBEXexcGood3" xfId="148" xr:uid="{00000000-0005-0000-0000-00005C010000}"/>
    <cellStyle name="SAPBEXexcGood3 2" xfId="303" xr:uid="{00000000-0005-0000-0000-00005D010000}"/>
    <cellStyle name="SAPBEXexcGood3 3" xfId="336" xr:uid="{00000000-0005-0000-0000-00005E010000}"/>
    <cellStyle name="SAPBEXexcGood3 4" xfId="403" xr:uid="{00000000-0005-0000-0000-00005F010000}"/>
    <cellStyle name="SAPBEXexcGood3 5" xfId="419" xr:uid="{00000000-0005-0000-0000-000060010000}"/>
    <cellStyle name="SAPBEXexcGood3 6" xfId="447" xr:uid="{00000000-0005-0000-0000-000061010000}"/>
    <cellStyle name="SAPBEXfilterDrill" xfId="149" xr:uid="{00000000-0005-0000-0000-000062010000}"/>
    <cellStyle name="SAPBEXfilterDrill 2" xfId="418" xr:uid="{00000000-0005-0000-0000-000063010000}"/>
    <cellStyle name="SAPBEXfilterDrill 3" xfId="444" xr:uid="{00000000-0005-0000-0000-000064010000}"/>
    <cellStyle name="SAPBEXfilterDrill 4" xfId="467" xr:uid="{00000000-0005-0000-0000-000065010000}"/>
    <cellStyle name="SAPBEXfilterDrill 5" xfId="428" xr:uid="{00000000-0005-0000-0000-000066010000}"/>
    <cellStyle name="SAPBEXfilterDrill 6" xfId="450" xr:uid="{00000000-0005-0000-0000-000067010000}"/>
    <cellStyle name="SAPBEXfilterDrill 7" xfId="494" xr:uid="{00000000-0005-0000-0000-000068010000}"/>
    <cellStyle name="SAPBEXfilterItem" xfId="150" xr:uid="{00000000-0005-0000-0000-000069010000}"/>
    <cellStyle name="SAPBEXfilterText" xfId="151" xr:uid="{00000000-0005-0000-0000-00006A010000}"/>
    <cellStyle name="SAPBEXformats" xfId="152" xr:uid="{00000000-0005-0000-0000-00006B010000}"/>
    <cellStyle name="SAPBEXformats 2" xfId="305" xr:uid="{00000000-0005-0000-0000-00006C010000}"/>
    <cellStyle name="SAPBEXformats 3" xfId="329" xr:uid="{00000000-0005-0000-0000-00006D010000}"/>
    <cellStyle name="SAPBEXformats 4" xfId="358" xr:uid="{00000000-0005-0000-0000-00006E010000}"/>
    <cellStyle name="SAPBEXformats 5" xfId="373" xr:uid="{00000000-0005-0000-0000-00006F010000}"/>
    <cellStyle name="SAPBEXformats 6" xfId="438" xr:uid="{00000000-0005-0000-0000-000070010000}"/>
    <cellStyle name="SAPBEXheaderItem" xfId="153" xr:uid="{00000000-0005-0000-0000-000071010000}"/>
    <cellStyle name="SAPBEXheaderText" xfId="154" xr:uid="{00000000-0005-0000-0000-000072010000}"/>
    <cellStyle name="SAPBEXHLevel0" xfId="155" xr:uid="{00000000-0005-0000-0000-000073010000}"/>
    <cellStyle name="SAPBEXHLevel0 2" xfId="307" xr:uid="{00000000-0005-0000-0000-000074010000}"/>
    <cellStyle name="SAPBEXHLevel0 3" xfId="294" xr:uid="{00000000-0005-0000-0000-000075010000}"/>
    <cellStyle name="SAPBEXHLevel0 4" xfId="402" xr:uid="{00000000-0005-0000-0000-000076010000}"/>
    <cellStyle name="SAPBEXHLevel0 5" xfId="417" xr:uid="{00000000-0005-0000-0000-000077010000}"/>
    <cellStyle name="SAPBEXHLevel0 6" xfId="443" xr:uid="{00000000-0005-0000-0000-000078010000}"/>
    <cellStyle name="SAPBEXHLevel0X" xfId="156" xr:uid="{00000000-0005-0000-0000-000079010000}"/>
    <cellStyle name="SAPBEXHLevel0X 2" xfId="308" xr:uid="{00000000-0005-0000-0000-00007A010000}"/>
    <cellStyle name="SAPBEXHLevel0X 3" xfId="287" xr:uid="{00000000-0005-0000-0000-00007B010000}"/>
    <cellStyle name="SAPBEXHLevel0X 4" xfId="401" xr:uid="{00000000-0005-0000-0000-00007C010000}"/>
    <cellStyle name="SAPBEXHLevel0X 5" xfId="412" xr:uid="{00000000-0005-0000-0000-00007D010000}"/>
    <cellStyle name="SAPBEXHLevel0X 6" xfId="434" xr:uid="{00000000-0005-0000-0000-00007E010000}"/>
    <cellStyle name="SAPBEXHLevel1" xfId="157" xr:uid="{00000000-0005-0000-0000-00007F010000}"/>
    <cellStyle name="SAPBEXHLevel1 2" xfId="309" xr:uid="{00000000-0005-0000-0000-000080010000}"/>
    <cellStyle name="SAPBEXHLevel1 3" xfId="288" xr:uid="{00000000-0005-0000-0000-000081010000}"/>
    <cellStyle name="SAPBEXHLevel1 4" xfId="398" xr:uid="{00000000-0005-0000-0000-000082010000}"/>
    <cellStyle name="SAPBEXHLevel1 5" xfId="383" xr:uid="{00000000-0005-0000-0000-000083010000}"/>
    <cellStyle name="SAPBEXHLevel1 6" xfId="427" xr:uid="{00000000-0005-0000-0000-000084010000}"/>
    <cellStyle name="SAPBEXHLevel1X" xfId="158" xr:uid="{00000000-0005-0000-0000-000085010000}"/>
    <cellStyle name="SAPBEXHLevel1X 2" xfId="310" xr:uid="{00000000-0005-0000-0000-000086010000}"/>
    <cellStyle name="SAPBEXHLevel1X 3" xfId="244" xr:uid="{00000000-0005-0000-0000-000087010000}"/>
    <cellStyle name="SAPBEXHLevel1X 4" xfId="258" xr:uid="{00000000-0005-0000-0000-000088010000}"/>
    <cellStyle name="SAPBEXHLevel1X 5" xfId="411" xr:uid="{00000000-0005-0000-0000-000089010000}"/>
    <cellStyle name="SAPBEXHLevel1X 6" xfId="456" xr:uid="{00000000-0005-0000-0000-00008A010000}"/>
    <cellStyle name="SAPBEXHLevel2" xfId="159" xr:uid="{00000000-0005-0000-0000-00008B010000}"/>
    <cellStyle name="SAPBEXHLevel2 2" xfId="311" xr:uid="{00000000-0005-0000-0000-00008C010000}"/>
    <cellStyle name="SAPBEXHLevel2 3" xfId="246" xr:uid="{00000000-0005-0000-0000-00008D010000}"/>
    <cellStyle name="SAPBEXHLevel2 4" xfId="397" xr:uid="{00000000-0005-0000-0000-00008E010000}"/>
    <cellStyle name="SAPBEXHLevel2 5" xfId="386" xr:uid="{00000000-0005-0000-0000-00008F010000}"/>
    <cellStyle name="SAPBEXHLevel2 6" xfId="431" xr:uid="{00000000-0005-0000-0000-000090010000}"/>
    <cellStyle name="SAPBEXHLevel2X" xfId="160" xr:uid="{00000000-0005-0000-0000-000091010000}"/>
    <cellStyle name="SAPBEXHLevel2X 2" xfId="312" xr:uid="{00000000-0005-0000-0000-000092010000}"/>
    <cellStyle name="SAPBEXHLevel2X 3" xfId="238" xr:uid="{00000000-0005-0000-0000-000093010000}"/>
    <cellStyle name="SAPBEXHLevel2X 4" xfId="337" xr:uid="{00000000-0005-0000-0000-000094010000}"/>
    <cellStyle name="SAPBEXHLevel2X 5" xfId="384" xr:uid="{00000000-0005-0000-0000-000095010000}"/>
    <cellStyle name="SAPBEXHLevel2X 6" xfId="437" xr:uid="{00000000-0005-0000-0000-000096010000}"/>
    <cellStyle name="SAPBEXHLevel3" xfId="161" xr:uid="{00000000-0005-0000-0000-000097010000}"/>
    <cellStyle name="SAPBEXHLevel3 2" xfId="313" xr:uid="{00000000-0005-0000-0000-000098010000}"/>
    <cellStyle name="SAPBEXHLevel3 3" xfId="237" xr:uid="{00000000-0005-0000-0000-000099010000}"/>
    <cellStyle name="SAPBEXHLevel3 4" xfId="375" xr:uid="{00000000-0005-0000-0000-00009A010000}"/>
    <cellStyle name="SAPBEXHLevel3 5" xfId="385" xr:uid="{00000000-0005-0000-0000-00009B010000}"/>
    <cellStyle name="SAPBEXHLevel3 6" xfId="446" xr:uid="{00000000-0005-0000-0000-00009C010000}"/>
    <cellStyle name="SAPBEXHLevel3X" xfId="162" xr:uid="{00000000-0005-0000-0000-00009D010000}"/>
    <cellStyle name="SAPBEXHLevel3X 2" xfId="314" xr:uid="{00000000-0005-0000-0000-00009E010000}"/>
    <cellStyle name="SAPBEXHLevel3X 3" xfId="269" xr:uid="{00000000-0005-0000-0000-00009F010000}"/>
    <cellStyle name="SAPBEXHLevel3X 4" xfId="374" xr:uid="{00000000-0005-0000-0000-0000A0010000}"/>
    <cellStyle name="SAPBEXHLevel3X 5" xfId="264" xr:uid="{00000000-0005-0000-0000-0000A1010000}"/>
    <cellStyle name="SAPBEXHLevel3X 6" xfId="462" xr:uid="{00000000-0005-0000-0000-0000A2010000}"/>
    <cellStyle name="SAPBEXinputData" xfId="163" xr:uid="{00000000-0005-0000-0000-0000A3010000}"/>
    <cellStyle name="SAPBEXItemHeader" xfId="164" xr:uid="{00000000-0005-0000-0000-0000A4010000}"/>
    <cellStyle name="SAPBEXItemHeader 2" xfId="316" xr:uid="{00000000-0005-0000-0000-0000A5010000}"/>
    <cellStyle name="SAPBEXItemHeader 3" xfId="315" xr:uid="{00000000-0005-0000-0000-0000A6010000}"/>
    <cellStyle name="SAPBEXItemHeader 4" xfId="406" xr:uid="{00000000-0005-0000-0000-0000A7010000}"/>
    <cellStyle name="SAPBEXItemHeader 5" xfId="331" xr:uid="{00000000-0005-0000-0000-0000A8010000}"/>
    <cellStyle name="SAPBEXItemHeader 6" xfId="423" xr:uid="{00000000-0005-0000-0000-0000A9010000}"/>
    <cellStyle name="SAPBEXresData" xfId="165" xr:uid="{00000000-0005-0000-0000-0000AA010000}"/>
    <cellStyle name="SAPBEXresData 2" xfId="317" xr:uid="{00000000-0005-0000-0000-0000AB010000}"/>
    <cellStyle name="SAPBEXresData 3" xfId="369" xr:uid="{00000000-0005-0000-0000-0000AC010000}"/>
    <cellStyle name="SAPBEXresData 4" xfId="372" xr:uid="{00000000-0005-0000-0000-0000AD010000}"/>
    <cellStyle name="SAPBEXresData 5" xfId="361" xr:uid="{00000000-0005-0000-0000-0000AE010000}"/>
    <cellStyle name="SAPBEXresData 6" xfId="441" xr:uid="{00000000-0005-0000-0000-0000AF010000}"/>
    <cellStyle name="SAPBEXresDataEmph" xfId="166" xr:uid="{00000000-0005-0000-0000-0000B0010000}"/>
    <cellStyle name="SAPBEXresDataEmph 2" xfId="318" xr:uid="{00000000-0005-0000-0000-0000B1010000}"/>
    <cellStyle name="SAPBEXresDataEmph 3" xfId="270" xr:uid="{00000000-0005-0000-0000-0000B2010000}"/>
    <cellStyle name="SAPBEXresDataEmph 4" xfId="353" xr:uid="{00000000-0005-0000-0000-0000B3010000}"/>
    <cellStyle name="SAPBEXresDataEmph 5" xfId="263" xr:uid="{00000000-0005-0000-0000-0000B4010000}"/>
    <cellStyle name="SAPBEXresDataEmph 6" xfId="454" xr:uid="{00000000-0005-0000-0000-0000B5010000}"/>
    <cellStyle name="SAPBEXresItem" xfId="167" xr:uid="{00000000-0005-0000-0000-0000B6010000}"/>
    <cellStyle name="SAPBEXresItem 2" xfId="319" xr:uid="{00000000-0005-0000-0000-0000B7010000}"/>
    <cellStyle name="SAPBEXresItem 3" xfId="271" xr:uid="{00000000-0005-0000-0000-0000B8010000}"/>
    <cellStyle name="SAPBEXresItem 4" xfId="326" xr:uid="{00000000-0005-0000-0000-0000B9010000}"/>
    <cellStyle name="SAPBEXresItem 5" xfId="389" xr:uid="{00000000-0005-0000-0000-0000BA010000}"/>
    <cellStyle name="SAPBEXresItem 6" xfId="473" xr:uid="{00000000-0005-0000-0000-0000BB010000}"/>
    <cellStyle name="SAPBEXresItemX" xfId="168" xr:uid="{00000000-0005-0000-0000-0000BC010000}"/>
    <cellStyle name="SAPBEXresItemX 2" xfId="320" xr:uid="{00000000-0005-0000-0000-0000BD010000}"/>
    <cellStyle name="SAPBEXresItemX 3" xfId="272" xr:uid="{00000000-0005-0000-0000-0000BE010000}"/>
    <cellStyle name="SAPBEXresItemX 4" xfId="304" xr:uid="{00000000-0005-0000-0000-0000BF010000}"/>
    <cellStyle name="SAPBEXresItemX 5" xfId="262" xr:uid="{00000000-0005-0000-0000-0000C0010000}"/>
    <cellStyle name="SAPBEXresItemX 6" xfId="422" xr:uid="{00000000-0005-0000-0000-0000C1010000}"/>
    <cellStyle name="SAPBEXstdData" xfId="169" xr:uid="{00000000-0005-0000-0000-0000C2010000}"/>
    <cellStyle name="SAPBEXstdData 2" xfId="321" xr:uid="{00000000-0005-0000-0000-0000C3010000}"/>
    <cellStyle name="SAPBEXstdData 3" xfId="278" xr:uid="{00000000-0005-0000-0000-0000C4010000}"/>
    <cellStyle name="SAPBEXstdData 4" xfId="241" xr:uid="{00000000-0005-0000-0000-0000C5010000}"/>
    <cellStyle name="SAPBEXstdData 5" xfId="243" xr:uid="{00000000-0005-0000-0000-0000C6010000}"/>
    <cellStyle name="SAPBEXstdData 6" xfId="470" xr:uid="{00000000-0005-0000-0000-0000C7010000}"/>
    <cellStyle name="SAPBEXstdDataEmph" xfId="170" xr:uid="{00000000-0005-0000-0000-0000C8010000}"/>
    <cellStyle name="SAPBEXstdDataEmph 2" xfId="322" xr:uid="{00000000-0005-0000-0000-0000C9010000}"/>
    <cellStyle name="SAPBEXstdDataEmph 3" xfId="328" xr:uid="{00000000-0005-0000-0000-0000CA010000}"/>
    <cellStyle name="SAPBEXstdDataEmph 4" xfId="240" xr:uid="{00000000-0005-0000-0000-0000CB010000}"/>
    <cellStyle name="SAPBEXstdDataEmph 5" xfId="390" xr:uid="{00000000-0005-0000-0000-0000CC010000}"/>
    <cellStyle name="SAPBEXstdDataEmph 6" xfId="426" xr:uid="{00000000-0005-0000-0000-0000CD010000}"/>
    <cellStyle name="SAPBEXstdItem" xfId="171" xr:uid="{00000000-0005-0000-0000-0000CE010000}"/>
    <cellStyle name="SAPBEXstdItem 2" xfId="323" xr:uid="{00000000-0005-0000-0000-0000CF010000}"/>
    <cellStyle name="SAPBEXstdItem 3" xfId="371" xr:uid="{00000000-0005-0000-0000-0000D0010000}"/>
    <cellStyle name="SAPBEXstdItem 4" xfId="257" xr:uid="{00000000-0005-0000-0000-0000D1010000}"/>
    <cellStyle name="SAPBEXstdItem 5" xfId="391" xr:uid="{00000000-0005-0000-0000-0000D2010000}"/>
    <cellStyle name="SAPBEXstdItem 6" xfId="461" xr:uid="{00000000-0005-0000-0000-0000D3010000}"/>
    <cellStyle name="SAPBEXstdItemX" xfId="172" xr:uid="{00000000-0005-0000-0000-0000D4010000}"/>
    <cellStyle name="SAPBEXstdItemX 2" xfId="324" xr:uid="{00000000-0005-0000-0000-0000D5010000}"/>
    <cellStyle name="SAPBEXstdItemX 3" xfId="254" xr:uid="{00000000-0005-0000-0000-0000D6010000}"/>
    <cellStyle name="SAPBEXstdItemX 4" xfId="277" xr:uid="{00000000-0005-0000-0000-0000D7010000}"/>
    <cellStyle name="SAPBEXstdItemX 5" xfId="349" xr:uid="{00000000-0005-0000-0000-0000D8010000}"/>
    <cellStyle name="SAPBEXstdItemX 6" xfId="440" xr:uid="{00000000-0005-0000-0000-0000D9010000}"/>
    <cellStyle name="SAPBEXtitle" xfId="173" xr:uid="{00000000-0005-0000-0000-0000DA010000}"/>
    <cellStyle name="SAPBEXunassignedItem" xfId="174" xr:uid="{00000000-0005-0000-0000-0000DB010000}"/>
    <cellStyle name="SAPBEXundefined" xfId="175" xr:uid="{00000000-0005-0000-0000-0000DC010000}"/>
    <cellStyle name="SAPBEXundefined 2" xfId="327" xr:uid="{00000000-0005-0000-0000-0000DD010000}"/>
    <cellStyle name="SAPBEXundefined 3" xfId="255" xr:uid="{00000000-0005-0000-0000-0000DE010000}"/>
    <cellStyle name="SAPBEXundefined 4" xfId="359" xr:uid="{00000000-0005-0000-0000-0000DF010000}"/>
    <cellStyle name="SAPBEXundefined 5" xfId="392" xr:uid="{00000000-0005-0000-0000-0000E0010000}"/>
    <cellStyle name="SAPBEXundefined 6" xfId="439" xr:uid="{00000000-0005-0000-0000-0000E1010000}"/>
    <cellStyle name="Sheet Title" xfId="176" xr:uid="{00000000-0005-0000-0000-0000E2010000}"/>
    <cellStyle name="Source Text" xfId="177" xr:uid="{00000000-0005-0000-0000-0000E3010000}"/>
    <cellStyle name="Title 2" xfId="230" xr:uid="{00000000-0005-0000-0000-0000E4010000}"/>
    <cellStyle name="Total" xfId="9" builtinId="25"/>
    <cellStyle name="Total 2" xfId="231" xr:uid="{00000000-0005-0000-0000-0000E6010000}"/>
    <cellStyle name="Total 2 2" xfId="232" xr:uid="{00000000-0005-0000-0000-0000E7010000}"/>
    <cellStyle name="Total 2 2 2" xfId="355" xr:uid="{00000000-0005-0000-0000-0000E8010000}"/>
    <cellStyle name="Total 2 2 3" xfId="247" xr:uid="{00000000-0005-0000-0000-0000E9010000}"/>
    <cellStyle name="Total 2 2 4" xfId="245" xr:uid="{00000000-0005-0000-0000-0000EA010000}"/>
    <cellStyle name="Total 2 2 5" xfId="370" xr:uid="{00000000-0005-0000-0000-0000EB010000}"/>
    <cellStyle name="Total 2 2 6" xfId="482" xr:uid="{00000000-0005-0000-0000-0000EC010000}"/>
    <cellStyle name="Total 2 3" xfId="354" xr:uid="{00000000-0005-0000-0000-0000ED010000}"/>
    <cellStyle name="Total 2 4" xfId="248" xr:uid="{00000000-0005-0000-0000-0000EE010000}"/>
    <cellStyle name="Total 2 5" xfId="242" xr:uid="{00000000-0005-0000-0000-0000EF010000}"/>
    <cellStyle name="Total 2 6" xfId="261" xr:uid="{00000000-0005-0000-0000-0000F0010000}"/>
    <cellStyle name="Total 2 7" xfId="481" xr:uid="{00000000-0005-0000-0000-0000F1010000}"/>
    <cellStyle name="Warning Text 2" xfId="233" xr:uid="{00000000-0005-0000-0000-0000F2010000}"/>
    <cellStyle name="Y.check" xfId="178" xr:uid="{00000000-0005-0000-0000-0000F3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FHU">
      <a:dk1>
        <a:sysClr val="windowText" lastClr="000000"/>
      </a:dk1>
      <a:lt1>
        <a:sysClr val="window" lastClr="FFFFFF"/>
      </a:lt1>
      <a:dk2>
        <a:srgbClr val="595959"/>
      </a:dk2>
      <a:lt2>
        <a:srgbClr val="E7E6E6"/>
      </a:lt2>
      <a:accent1>
        <a:srgbClr val="425563"/>
      </a:accent1>
      <a:accent2>
        <a:srgbClr val="005E5D"/>
      </a:accent2>
      <a:accent3>
        <a:srgbClr val="7A9A01"/>
      </a:accent3>
      <a:accent4>
        <a:srgbClr val="D29F13"/>
      </a:accent4>
      <a:accent5>
        <a:srgbClr val="B15533"/>
      </a:accent5>
      <a:accent6>
        <a:srgbClr val="00677F"/>
      </a:accent6>
      <a:hlink>
        <a:srgbClr val="7A9A01"/>
      </a:hlink>
      <a:folHlink>
        <a:srgbClr val="B15533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37"/>
  <sheetViews>
    <sheetView zoomScale="130" zoomScaleNormal="130" workbookViewId="0">
      <selection activeCell="E3" sqref="E3"/>
    </sheetView>
  </sheetViews>
  <sheetFormatPr baseColWidth="10" defaultColWidth="9" defaultRowHeight="13"/>
  <cols>
    <col min="1" max="1" width="3.3984375" style="1" customWidth="1"/>
    <col min="2" max="2" width="80" style="1" customWidth="1"/>
    <col min="3" max="3" width="5.3984375" style="1" bestFit="1" customWidth="1"/>
    <col min="4" max="4" width="10.3984375" style="1" customWidth="1"/>
    <col min="5" max="5" width="22.3984375" style="1" bestFit="1" customWidth="1"/>
    <col min="6" max="6" width="12.19921875" bestFit="1" customWidth="1"/>
    <col min="7" max="7" width="11.3984375" customWidth="1"/>
    <col min="8" max="11" width="12.59765625" bestFit="1" customWidth="1"/>
    <col min="12" max="14" width="11.59765625" bestFit="1" customWidth="1"/>
    <col min="15" max="39" width="12.59765625" bestFit="1" customWidth="1"/>
  </cols>
  <sheetData>
    <row r="1" spans="1:8" ht="20" thickBot="1">
      <c r="A1" s="253" t="s">
        <v>0</v>
      </c>
      <c r="B1" s="253"/>
      <c r="C1" s="74"/>
      <c r="D1" s="74"/>
      <c r="E1" s="184" t="s">
        <v>434</v>
      </c>
    </row>
    <row r="2" spans="1:8" ht="19" thickTop="1" thickBot="1">
      <c r="A2" s="2" t="s">
        <v>370</v>
      </c>
      <c r="B2" s="2"/>
      <c r="C2" s="2"/>
      <c r="D2" s="2"/>
      <c r="E2" s="143" t="s">
        <v>474</v>
      </c>
    </row>
    <row r="3" spans="1:8" ht="14" thickTop="1">
      <c r="D3" s="247">
        <v>7.0000000000000007E-2</v>
      </c>
      <c r="E3" s="127" t="s">
        <v>244</v>
      </c>
    </row>
    <row r="4" spans="1:8" ht="16" thickBot="1">
      <c r="A4" s="254" t="s">
        <v>1</v>
      </c>
      <c r="B4" s="254"/>
      <c r="C4" s="254"/>
      <c r="D4" s="254"/>
      <c r="E4" s="254"/>
    </row>
    <row r="5" spans="1:8" ht="15">
      <c r="A5" s="252" t="s">
        <v>10</v>
      </c>
      <c r="B5" s="252"/>
      <c r="C5" s="252"/>
      <c r="D5" s="252"/>
      <c r="E5" s="252"/>
    </row>
    <row r="6" spans="1:8">
      <c r="B6" s="15" t="s">
        <v>103</v>
      </c>
      <c r="C6" s="15"/>
      <c r="D6" s="15"/>
      <c r="E6" s="121">
        <f>BCA!D59</f>
        <v>123526200.4331428</v>
      </c>
    </row>
    <row r="7" spans="1:8">
      <c r="A7" s="125" t="s">
        <v>1</v>
      </c>
      <c r="B7" s="125"/>
      <c r="C7" s="125"/>
      <c r="D7" s="125"/>
      <c r="E7" s="126">
        <f>E6</f>
        <v>123526200.4331428</v>
      </c>
    </row>
    <row r="8" spans="1:8" ht="16" thickBot="1">
      <c r="A8" s="254" t="s">
        <v>2</v>
      </c>
      <c r="B8" s="254"/>
      <c r="C8" s="254"/>
      <c r="D8" s="254"/>
      <c r="E8" s="254"/>
    </row>
    <row r="9" spans="1:8" ht="15">
      <c r="A9" s="252" t="s">
        <v>185</v>
      </c>
      <c r="B9" s="252"/>
      <c r="C9" s="252"/>
      <c r="D9" s="252"/>
      <c r="E9" s="252"/>
    </row>
    <row r="10" spans="1:8">
      <c r="A10" s="121"/>
      <c r="B10" s="121" t="s">
        <v>150</v>
      </c>
      <c r="C10" s="121"/>
      <c r="D10" s="121"/>
      <c r="E10" s="121">
        <f>BCA!D17</f>
        <v>252747.0054575649</v>
      </c>
    </row>
    <row r="11" spans="1:8" ht="15">
      <c r="A11" s="252" t="s">
        <v>422</v>
      </c>
      <c r="B11" s="252"/>
      <c r="C11" s="252"/>
      <c r="D11" s="252"/>
      <c r="E11" s="252"/>
    </row>
    <row r="12" spans="1:8">
      <c r="A12" s="15"/>
      <c r="B12" s="15" t="str">
        <f>BCA!B20</f>
        <v>Freight Train Idling</v>
      </c>
      <c r="C12" s="15"/>
      <c r="D12" s="15"/>
      <c r="E12" s="121">
        <f>BCA!D21</f>
        <v>384007.57369269541</v>
      </c>
      <c r="H12" s="249"/>
    </row>
    <row r="13" spans="1:8">
      <c r="A13" s="15"/>
      <c r="B13" s="15" t="str">
        <f>BCA!B22</f>
        <v>Non-CO2 Emission Costs</v>
      </c>
      <c r="C13" s="15"/>
      <c r="D13" s="15"/>
      <c r="E13" s="121">
        <f>BCA!D23</f>
        <v>1184641.1250210952</v>
      </c>
      <c r="H13" s="249"/>
    </row>
    <row r="14" spans="1:8">
      <c r="A14" s="15"/>
      <c r="B14" s="15"/>
      <c r="C14" s="15"/>
      <c r="D14" s="15"/>
      <c r="E14" s="121"/>
      <c r="H14" s="249"/>
    </row>
    <row r="15" spans="1:8" ht="15">
      <c r="A15" s="252" t="s">
        <v>182</v>
      </c>
      <c r="B15" s="252"/>
      <c r="C15" s="252"/>
      <c r="D15" s="252"/>
      <c r="E15" s="252"/>
    </row>
    <row r="16" spans="1:8">
      <c r="A16" s="121"/>
      <c r="B16" s="15" t="s">
        <v>104</v>
      </c>
      <c r="C16" s="121"/>
      <c r="D16" s="121"/>
      <c r="E16" s="121">
        <f>BCA!D27</f>
        <v>10909883.814723926</v>
      </c>
    </row>
    <row r="17" spans="1:6" ht="15">
      <c r="A17" s="252" t="s">
        <v>8</v>
      </c>
      <c r="B17" s="252"/>
      <c r="C17" s="252"/>
      <c r="D17" s="252"/>
      <c r="E17" s="252"/>
    </row>
    <row r="18" spans="1:6">
      <c r="A18" s="15"/>
      <c r="B18" s="15" t="s">
        <v>231</v>
      </c>
      <c r="C18" s="15"/>
      <c r="D18" s="15"/>
      <c r="E18" s="121">
        <f>BCA!D38</f>
        <v>2724481.8375618169</v>
      </c>
    </row>
    <row r="19" spans="1:6">
      <c r="A19" s="15"/>
      <c r="B19" s="15" t="s">
        <v>230</v>
      </c>
      <c r="C19" s="15"/>
      <c r="D19" s="15"/>
      <c r="E19" s="121">
        <f>BCA!D35</f>
        <v>28299471.755380578</v>
      </c>
    </row>
    <row r="20" spans="1:6">
      <c r="A20" s="15"/>
      <c r="B20" s="15" t="s">
        <v>229</v>
      </c>
      <c r="C20" s="15"/>
      <c r="D20" s="15"/>
      <c r="E20" s="121">
        <f>BCA!D32</f>
        <v>1005487.302254054</v>
      </c>
      <c r="F20" s="177"/>
    </row>
    <row r="21" spans="1:6" ht="15">
      <c r="A21" s="252" t="s">
        <v>183</v>
      </c>
      <c r="B21" s="252"/>
      <c r="C21" s="252"/>
      <c r="D21" s="252"/>
      <c r="E21" s="252"/>
    </row>
    <row r="22" spans="1:6">
      <c r="A22" s="14"/>
      <c r="B22" s="15" t="s">
        <v>5</v>
      </c>
      <c r="C22" s="15"/>
      <c r="D22" s="15"/>
      <c r="E22" s="121">
        <f>BCA!D42</f>
        <v>106564227.25159039</v>
      </c>
    </row>
    <row r="23" spans="1:6">
      <c r="A23" s="15"/>
      <c r="B23" s="15" t="s">
        <v>6</v>
      </c>
      <c r="C23" s="15"/>
      <c r="D23" s="15"/>
      <c r="E23" s="121">
        <f>BCA!D44</f>
        <v>5752444.062072549</v>
      </c>
    </row>
    <row r="24" spans="1:6" ht="15">
      <c r="A24" s="252" t="s">
        <v>184</v>
      </c>
      <c r="B24" s="252"/>
      <c r="C24" s="252"/>
      <c r="D24" s="252"/>
      <c r="E24" s="252"/>
    </row>
    <row r="25" spans="1:6">
      <c r="B25" t="s">
        <v>149</v>
      </c>
      <c r="C25"/>
      <c r="D25"/>
      <c r="E25" s="121">
        <f>BCA!D47+BCA!D49+BCA!D51</f>
        <v>58519.50092210609</v>
      </c>
    </row>
    <row r="26" spans="1:6">
      <c r="B26" s="90"/>
      <c r="C26"/>
      <c r="D26"/>
      <c r="E26" s="121"/>
    </row>
    <row r="27" spans="1:6">
      <c r="B27"/>
      <c r="C27"/>
      <c r="D27"/>
      <c r="E27" s="121"/>
    </row>
    <row r="28" spans="1:6">
      <c r="A28" s="125" t="s">
        <v>442</v>
      </c>
      <c r="B28" s="125"/>
      <c r="C28" s="125"/>
      <c r="D28" s="125"/>
      <c r="E28" s="126">
        <f>BCA!D54</f>
        <v>275158846.67761737</v>
      </c>
    </row>
    <row r="29" spans="1:6">
      <c r="A29" s="23" t="s">
        <v>472</v>
      </c>
      <c r="B29" s="23"/>
      <c r="C29" s="23"/>
      <c r="D29" s="23"/>
      <c r="E29" s="157" t="str">
        <f>BCA!D66</f>
        <v>2.23 : 1</v>
      </c>
    </row>
    <row r="30" spans="1:6">
      <c r="A30" s="23" t="s">
        <v>136</v>
      </c>
      <c r="B30" s="23"/>
      <c r="C30" s="23"/>
      <c r="D30" s="23"/>
      <c r="E30" s="129">
        <f>BCA!D65</f>
        <v>151632646.24447459</v>
      </c>
    </row>
    <row r="31" spans="1:6">
      <c r="B31" t="str">
        <f>"*Note: Values stated in "&amp;C37&amp;"$"</f>
        <v>*Note: Values stated in 2024$</v>
      </c>
      <c r="C31"/>
      <c r="D31"/>
    </row>
    <row r="35" spans="1:4">
      <c r="A35" s="23" t="s">
        <v>241</v>
      </c>
    </row>
    <row r="36" spans="1:4">
      <c r="B36" s="90" t="s">
        <v>435</v>
      </c>
      <c r="C36" s="167"/>
      <c r="D36" s="167"/>
    </row>
    <row r="37" spans="1:4">
      <c r="B37" s="200" t="s">
        <v>243</v>
      </c>
      <c r="C37" s="90">
        <v>2024</v>
      </c>
      <c r="D37" s="1" t="s">
        <v>242</v>
      </c>
    </row>
  </sheetData>
  <mergeCells count="10">
    <mergeCell ref="A21:E21"/>
    <mergeCell ref="A24:E24"/>
    <mergeCell ref="A17:E17"/>
    <mergeCell ref="A1:B1"/>
    <mergeCell ref="A4:E4"/>
    <mergeCell ref="A5:E5"/>
    <mergeCell ref="A8:E8"/>
    <mergeCell ref="A9:E9"/>
    <mergeCell ref="A15:E15"/>
    <mergeCell ref="A11:E11"/>
  </mergeCells>
  <pageMargins left="0.7" right="0.7" top="0.75" bottom="0.75" header="0.3" footer="0.3"/>
  <pageSetup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X66"/>
  <sheetViews>
    <sheetView topLeftCell="A14" zoomScaleNormal="100" zoomScaleSheetLayoutView="100" workbookViewId="0">
      <pane xSplit="3" topLeftCell="D1" activePane="topRight" state="frozen"/>
      <selection activeCell="A2" sqref="A2"/>
      <selection pane="topRight" activeCell="AX30" sqref="AX30"/>
    </sheetView>
  </sheetViews>
  <sheetFormatPr baseColWidth="10" defaultColWidth="9.19921875" defaultRowHeight="13"/>
  <cols>
    <col min="1" max="2" width="3.3984375" style="1" customWidth="1"/>
    <col min="3" max="3" width="58" style="1" customWidth="1"/>
    <col min="4" max="4" width="16" style="1" bestFit="1" customWidth="1"/>
    <col min="5" max="6" width="13.59765625" customWidth="1"/>
    <col min="7" max="16" width="14.796875" customWidth="1"/>
    <col min="17" max="17" width="14.796875" bestFit="1" customWidth="1"/>
    <col min="18" max="21" width="14.796875" customWidth="1"/>
    <col min="22" max="22" width="14.796875" bestFit="1" customWidth="1"/>
    <col min="23" max="26" width="14.796875" customWidth="1"/>
    <col min="27" max="27" width="14.796875" bestFit="1" customWidth="1"/>
    <col min="28" max="31" width="14.796875" customWidth="1"/>
    <col min="32" max="32" width="14.796875" bestFit="1" customWidth="1"/>
    <col min="33" max="36" width="14.796875" customWidth="1"/>
    <col min="37" max="37" width="14.796875" bestFit="1" customWidth="1"/>
    <col min="38" max="41" width="14.796875" customWidth="1"/>
    <col min="42" max="42" width="16" bestFit="1" customWidth="1"/>
    <col min="44" max="49" width="11.3984375" bestFit="1" customWidth="1"/>
    <col min="50" max="50" width="13.3984375" bestFit="1" customWidth="1"/>
  </cols>
  <sheetData>
    <row r="1" spans="1:42" ht="20" thickBot="1">
      <c r="A1" s="253" t="str">
        <f>'BCA Summary'!E1&amp;" Benefit Cost Analysis"</f>
        <v>BUILD Grant Benefit Cost Analysis</v>
      </c>
      <c r="B1" s="253"/>
      <c r="C1" s="253"/>
      <c r="D1" s="74"/>
    </row>
    <row r="2" spans="1:42" ht="19" thickTop="1" thickBot="1">
      <c r="A2" s="2" t="str">
        <f>'BCA Summary'!A2</f>
        <v>US 85/120th Avenue Grade-Separation and Interchange Project</v>
      </c>
      <c r="B2" s="2"/>
      <c r="C2" s="2"/>
      <c r="D2" s="2"/>
    </row>
    <row r="3" spans="1:42" ht="14" thickTop="1"/>
    <row r="4" spans="1:42" ht="16" thickBot="1">
      <c r="A4" s="3" t="s">
        <v>1</v>
      </c>
      <c r="B4" s="3"/>
      <c r="C4" s="4"/>
      <c r="D4" s="4"/>
    </row>
    <row r="5" spans="1:42">
      <c r="B5" s="15" t="s">
        <v>443</v>
      </c>
      <c r="D5" s="5">
        <f>D62</f>
        <v>123526200.4331428</v>
      </c>
    </row>
    <row r="6" spans="1:42" ht="16" thickBot="1">
      <c r="A6" s="3" t="s">
        <v>2</v>
      </c>
      <c r="B6" s="3"/>
      <c r="C6" s="4"/>
      <c r="D6" s="4"/>
    </row>
    <row r="7" spans="1:42">
      <c r="B7" s="15" t="s">
        <v>444</v>
      </c>
      <c r="D7" s="147">
        <f>D65</f>
        <v>151632646.24447459</v>
      </c>
    </row>
    <row r="8" spans="1:42">
      <c r="D8" s="15"/>
    </row>
    <row r="9" spans="1:42" ht="16" thickBot="1">
      <c r="A9" s="3" t="s">
        <v>3</v>
      </c>
      <c r="B9" s="3"/>
      <c r="C9" s="4"/>
      <c r="D9" s="4"/>
    </row>
    <row r="10" spans="1:42">
      <c r="B10" s="15" t="s">
        <v>445</v>
      </c>
      <c r="D10" s="6" t="str">
        <f>D66</f>
        <v>2.23 : 1</v>
      </c>
    </row>
    <row r="13" spans="1:42" ht="18" thickBot="1">
      <c r="A13" s="7" t="s">
        <v>4</v>
      </c>
      <c r="B13" s="7"/>
      <c r="C13" s="7"/>
      <c r="D13" s="8"/>
      <c r="E13" s="114">
        <f>'Timeline &amp; Costs'!H6</f>
        <v>2018</v>
      </c>
      <c r="F13" s="114">
        <f>'Timeline &amp; Costs'!I6</f>
        <v>2019</v>
      </c>
      <c r="G13" s="114">
        <f>'Timeline &amp; Costs'!J6</f>
        <v>2020</v>
      </c>
      <c r="H13" s="114">
        <f>'Timeline &amp; Costs'!K6</f>
        <v>2021</v>
      </c>
      <c r="I13" s="114">
        <f>'Timeline &amp; Costs'!L6</f>
        <v>2022</v>
      </c>
      <c r="J13" s="114">
        <f>'Timeline &amp; Costs'!M6</f>
        <v>2023</v>
      </c>
      <c r="K13" s="114">
        <f>'Timeline &amp; Costs'!N6</f>
        <v>2024</v>
      </c>
      <c r="L13" s="114">
        <f>'Timeline &amp; Costs'!O6</f>
        <v>2025</v>
      </c>
      <c r="M13" s="114">
        <f>'Timeline &amp; Costs'!P6</f>
        <v>2026</v>
      </c>
      <c r="N13" s="114">
        <f>'Timeline &amp; Costs'!Q6</f>
        <v>2027</v>
      </c>
      <c r="O13" s="114">
        <f>'Timeline &amp; Costs'!R6</f>
        <v>2028</v>
      </c>
      <c r="P13" s="114">
        <f>'Timeline &amp; Costs'!S6</f>
        <v>2029</v>
      </c>
      <c r="Q13" s="114">
        <f>'Timeline &amp; Costs'!T6</f>
        <v>2030</v>
      </c>
      <c r="R13" s="114">
        <f>'Timeline &amp; Costs'!U6</f>
        <v>2031</v>
      </c>
      <c r="S13" s="114">
        <f>'Timeline &amp; Costs'!V6</f>
        <v>2032</v>
      </c>
      <c r="T13" s="114">
        <f>'Timeline &amp; Costs'!W6</f>
        <v>2033</v>
      </c>
      <c r="U13" s="114">
        <f>'Timeline &amp; Costs'!X6</f>
        <v>2034</v>
      </c>
      <c r="V13" s="114">
        <f>'Timeline &amp; Costs'!Y6</f>
        <v>2035</v>
      </c>
      <c r="W13" s="114">
        <f>'Timeline &amp; Costs'!Z6</f>
        <v>2036</v>
      </c>
      <c r="X13" s="114">
        <f>'Timeline &amp; Costs'!AA6</f>
        <v>2037</v>
      </c>
      <c r="Y13" s="114">
        <f>'Timeline &amp; Costs'!AB6</f>
        <v>2038</v>
      </c>
      <c r="Z13" s="114">
        <f>'Timeline &amp; Costs'!AC6</f>
        <v>2039</v>
      </c>
      <c r="AA13" s="114">
        <f>'Timeline &amp; Costs'!AD6</f>
        <v>2040</v>
      </c>
      <c r="AB13" s="114">
        <f>'Timeline &amp; Costs'!AE6</f>
        <v>2041</v>
      </c>
      <c r="AC13" s="114">
        <f>'Timeline &amp; Costs'!AF6</f>
        <v>2042</v>
      </c>
      <c r="AD13" s="114">
        <f>'Timeline &amp; Costs'!AG6</f>
        <v>2043</v>
      </c>
      <c r="AE13" s="114">
        <f>'Timeline &amp; Costs'!AH6</f>
        <v>2044</v>
      </c>
      <c r="AF13" s="114">
        <f>'Timeline &amp; Costs'!AI6</f>
        <v>2045</v>
      </c>
      <c r="AG13" s="114">
        <f>'Timeline &amp; Costs'!AJ6</f>
        <v>2046</v>
      </c>
      <c r="AH13" s="114">
        <f>'Timeline &amp; Costs'!AK6</f>
        <v>2047</v>
      </c>
      <c r="AI13" s="114">
        <f>'Timeline &amp; Costs'!AL6</f>
        <v>2048</v>
      </c>
      <c r="AJ13" s="114">
        <f>'Timeline &amp; Costs'!AM6</f>
        <v>2049</v>
      </c>
      <c r="AK13" s="114">
        <f>'Timeline &amp; Costs'!AN6</f>
        <v>2050</v>
      </c>
      <c r="AL13" s="114">
        <f>'Timeline &amp; Costs'!AO6</f>
        <v>2051</v>
      </c>
      <c r="AM13" s="114">
        <f>'Timeline &amp; Costs'!AP6</f>
        <v>2052</v>
      </c>
      <c r="AN13" s="114">
        <f>'Timeline &amp; Costs'!AQ6</f>
        <v>2053</v>
      </c>
      <c r="AO13" s="114">
        <f>'Timeline &amp; Costs'!AR6</f>
        <v>2054</v>
      </c>
      <c r="AP13" s="114">
        <f>'Timeline &amp; Costs'!AS6</f>
        <v>2055</v>
      </c>
    </row>
    <row r="14" spans="1:42" ht="14" thickTop="1">
      <c r="A14" s="9" t="str">
        <f>"Benefits calculated on the change from Baseline to "&amp;'BCA Summary'!E1&amp;" Scenario"</f>
        <v>Benefits calculated on the change from Baseline to BUILD Grant Scenario</v>
      </c>
      <c r="B14" s="9"/>
      <c r="C14" s="15"/>
      <c r="D14" s="15"/>
    </row>
    <row r="15" spans="1:42" ht="15">
      <c r="A15" s="10" t="s">
        <v>181</v>
      </c>
      <c r="B15" s="10"/>
      <c r="D15" s="11"/>
    </row>
    <row r="16" spans="1:42">
      <c r="A16" s="12"/>
      <c r="B16" s="13" t="s">
        <v>11</v>
      </c>
      <c r="D16" s="118">
        <f t="shared" ref="D16:D26" si="0">SUM(E16:AP16)</f>
        <v>-1531000</v>
      </c>
      <c r="E16" s="121">
        <f>'Summary of Benefits'!H9</f>
        <v>0</v>
      </c>
      <c r="F16" s="121">
        <f>'Summary of Benefits'!I9</f>
        <v>0</v>
      </c>
      <c r="G16" s="121">
        <f>'Summary of Benefits'!J9</f>
        <v>0</v>
      </c>
      <c r="H16" s="121">
        <f>'Summary of Benefits'!K9</f>
        <v>0</v>
      </c>
      <c r="I16" s="121">
        <f>'Summary of Benefits'!L9</f>
        <v>0</v>
      </c>
      <c r="J16" s="121">
        <f>'Summary of Benefits'!M9</f>
        <v>0</v>
      </c>
      <c r="K16" s="121">
        <f>'Summary of Benefits'!N9</f>
        <v>0</v>
      </c>
      <c r="L16" s="121">
        <f>'Summary of Benefits'!O9</f>
        <v>0</v>
      </c>
      <c r="M16" s="121">
        <f>'Summary of Benefits'!P9</f>
        <v>0</v>
      </c>
      <c r="N16" s="121">
        <f>'Summary of Benefits'!Q9</f>
        <v>0</v>
      </c>
      <c r="O16" s="121">
        <f>'Summary of Benefits'!R9</f>
        <v>0</v>
      </c>
      <c r="P16" s="121">
        <f>'Summary of Benefits'!S9</f>
        <v>0</v>
      </c>
      <c r="Q16" s="121">
        <f>'Summary of Benefits'!T9</f>
        <v>-83250</v>
      </c>
      <c r="R16" s="121">
        <f>'Summary of Benefits'!U9</f>
        <v>-83250</v>
      </c>
      <c r="S16" s="121">
        <f>'Summary of Benefits'!V9</f>
        <v>2944250</v>
      </c>
      <c r="T16" s="121">
        <f>'Summary of Benefits'!W9</f>
        <v>-83250</v>
      </c>
      <c r="U16" s="121">
        <f>'Summary of Benefits'!X9</f>
        <v>-83250</v>
      </c>
      <c r="V16" s="121">
        <f>'Summary of Benefits'!Y9</f>
        <v>-83250</v>
      </c>
      <c r="W16" s="121">
        <f>'Summary of Benefits'!Z9</f>
        <v>-83250</v>
      </c>
      <c r="X16" s="121">
        <f>'Summary of Benefits'!AA9</f>
        <v>-83250</v>
      </c>
      <c r="Y16" s="121">
        <f>'Summary of Benefits'!AB9</f>
        <v>-83250</v>
      </c>
      <c r="Z16" s="121">
        <f>'Summary of Benefits'!AC9</f>
        <v>-83250</v>
      </c>
      <c r="AA16" s="121">
        <f>'Summary of Benefits'!AD9</f>
        <v>-4307750</v>
      </c>
      <c r="AB16" s="121">
        <f>'Summary of Benefits'!AE9</f>
        <v>-83250</v>
      </c>
      <c r="AC16" s="121">
        <f>'Summary of Benefits'!AF9</f>
        <v>2944250</v>
      </c>
      <c r="AD16" s="121">
        <f>'Summary of Benefits'!AG9</f>
        <v>-83250</v>
      </c>
      <c r="AE16" s="121">
        <f>'Summary of Benefits'!AH9</f>
        <v>-83250</v>
      </c>
      <c r="AF16" s="121">
        <f>'Summary of Benefits'!AI9</f>
        <v>-83250</v>
      </c>
      <c r="AG16" s="121">
        <f>'Summary of Benefits'!AJ9</f>
        <v>-83250</v>
      </c>
      <c r="AH16" s="121">
        <f>'Summary of Benefits'!AK9</f>
        <v>-83250</v>
      </c>
      <c r="AI16" s="121">
        <f>'Summary of Benefits'!AL9</f>
        <v>-83250</v>
      </c>
      <c r="AJ16" s="121">
        <f>'Summary of Benefits'!AM9</f>
        <v>-83250</v>
      </c>
      <c r="AK16" s="121">
        <f>'Summary of Benefits'!AN9</f>
        <v>-4307750</v>
      </c>
      <c r="AL16" s="121">
        <f>'Summary of Benefits'!AO9</f>
        <v>-83250</v>
      </c>
      <c r="AM16" s="121">
        <f>'Summary of Benefits'!AP9</f>
        <v>2944250</v>
      </c>
      <c r="AN16" s="121">
        <f>'Summary of Benefits'!AQ9</f>
        <v>-83250</v>
      </c>
      <c r="AO16" s="121">
        <f>'Summary of Benefits'!AR9</f>
        <v>-83250</v>
      </c>
      <c r="AP16" s="121">
        <f>'Summary of Benefits'!AS9</f>
        <v>-83250</v>
      </c>
    </row>
    <row r="17" spans="1:50">
      <c r="A17"/>
      <c r="B17" s="15"/>
      <c r="C17" s="135" t="s">
        <v>446</v>
      </c>
      <c r="D17" s="118">
        <f>SUM(E17:AP17)</f>
        <v>252747.0054575649</v>
      </c>
      <c r="E17" s="128">
        <f>(E16)/((1+'BCA Summary'!$D$3)^(E$13-'BCA Summary'!$C$37))</f>
        <v>0</v>
      </c>
      <c r="F17" s="128">
        <f>(F16)/((1+'BCA Summary'!$D$3)^(F$13-'BCA Summary'!$C$37))</f>
        <v>0</v>
      </c>
      <c r="G17" s="128">
        <f>(G16)/((1+'BCA Summary'!$D$3)^(G$13-'BCA Summary'!$C$37))</f>
        <v>0</v>
      </c>
      <c r="H17" s="128">
        <f>(H16)/((1+'BCA Summary'!$D$3)^(H$13-'BCA Summary'!$C$37))</f>
        <v>0</v>
      </c>
      <c r="I17" s="128">
        <f>(I16)/((1+'BCA Summary'!$D$3)^(I$13-'BCA Summary'!$C$37))</f>
        <v>0</v>
      </c>
      <c r="J17" s="128">
        <f>(J16)/((1+'BCA Summary'!$D$3)^(J$13-'BCA Summary'!$C$37))</f>
        <v>0</v>
      </c>
      <c r="K17" s="128">
        <f>(K16)/((1+'BCA Summary'!$D$3)^(K$13-'BCA Summary'!$C$37))</f>
        <v>0</v>
      </c>
      <c r="L17" s="128">
        <f>(L16)/((1+'BCA Summary'!$D$3)^(L$13-'BCA Summary'!$C$37))</f>
        <v>0</v>
      </c>
      <c r="M17" s="128">
        <f>(M16)/((1+'BCA Summary'!$D$3)^(M$13-'BCA Summary'!$C$37))</f>
        <v>0</v>
      </c>
      <c r="N17" s="128">
        <f>(N16)/((1+'BCA Summary'!$D$3)^(N$13-'BCA Summary'!$C$37))</f>
        <v>0</v>
      </c>
      <c r="O17" s="128">
        <f>(O16)/((1+'BCA Summary'!$D$3)^(O$13-'BCA Summary'!$C$37))</f>
        <v>0</v>
      </c>
      <c r="P17" s="128">
        <f>(P16)/((1+'BCA Summary'!$D$3)^(P$13-'BCA Summary'!$C$37))</f>
        <v>0</v>
      </c>
      <c r="Q17" s="128">
        <f>(Q16)/((1+'BCA Summary'!$D$3)^(Q$13-'BCA Summary'!$C$37))</f>
        <v>-55472.99013272467</v>
      </c>
      <c r="R17" s="128">
        <f>(R16)/((1+'BCA Summary'!$D$3)^(R$13-'BCA Summary'!$C$37))</f>
        <v>-51843.916011892208</v>
      </c>
      <c r="S17" s="128">
        <f>(S16)/((1+'BCA Summary'!$D$3)^(S$13-'BCA Summary'!$C$37))</f>
        <v>1713580.3061156145</v>
      </c>
      <c r="T17" s="128">
        <f>(T16)/((1+'BCA Summary'!$D$3)^(T$13-'BCA Summary'!$C$37))</f>
        <v>-45282.484070130318</v>
      </c>
      <c r="U17" s="128">
        <f>(U16)/((1+'BCA Summary'!$D$3)^(U$13-'BCA Summary'!$C$37))</f>
        <v>-42320.078570215257</v>
      </c>
      <c r="V17" s="128">
        <f>(V16)/((1+'BCA Summary'!$D$3)^(V$13-'BCA Summary'!$C$37))</f>
        <v>-39551.475299266589</v>
      </c>
      <c r="W17" s="128">
        <f>(W16)/((1+'BCA Summary'!$D$3)^(W$13-'BCA Summary'!$C$37))</f>
        <v>-36963.995606791214</v>
      </c>
      <c r="X17" s="128">
        <f>(X16)/((1+'BCA Summary'!$D$3)^(X$13-'BCA Summary'!$C$37))</f>
        <v>-34545.790286720759</v>
      </c>
      <c r="Y17" s="128">
        <f>(Y16)/((1+'BCA Summary'!$D$3)^(Y$13-'BCA Summary'!$C$37))</f>
        <v>-32285.785314692297</v>
      </c>
      <c r="Z17" s="128">
        <f>(Z16)/((1+'BCA Summary'!$D$3)^(Z$13-'BCA Summary'!$C$37))</f>
        <v>-30173.631135226442</v>
      </c>
      <c r="AA17" s="128">
        <f>(AA16)/((1+'BCA Summary'!$D$3)^(AA$13-'BCA Summary'!$C$37))</f>
        <v>-1459183.9636582944</v>
      </c>
      <c r="AB17" s="128">
        <f>(AB16)/((1+'BCA Summary'!$D$3)^(AB$13-'BCA Summary'!$C$37))</f>
        <v>-26354.818006137171</v>
      </c>
      <c r="AC17" s="128">
        <f>(AC16)/((1+'BCA Summary'!$D$3)^(AC$13-'BCA Summary'!$C$37))</f>
        <v>871097.33562986576</v>
      </c>
      <c r="AD17" s="128">
        <f>(AD16)/((1+'BCA Summary'!$D$3)^(AD$13-'BCA Summary'!$C$37))</f>
        <v>-23019.318723152388</v>
      </c>
      <c r="AE17" s="128">
        <f>(AE16)/((1+'BCA Summary'!$D$3)^(AE$13-'BCA Summary'!$C$37))</f>
        <v>-21513.381984254571</v>
      </c>
      <c r="AF17" s="128">
        <f>(AF16)/((1+'BCA Summary'!$D$3)^(AF$13-'BCA Summary'!$C$37))</f>
        <v>-20105.96447126595</v>
      </c>
      <c r="AG17" s="128">
        <f>(AG16)/((1+'BCA Summary'!$D$3)^(AG$13-'BCA Summary'!$C$37))</f>
        <v>-18790.621001183132</v>
      </c>
      <c r="AH17" s="128">
        <f>(AH16)/((1+'BCA Summary'!$D$3)^(AH$13-'BCA Summary'!$C$37))</f>
        <v>-17561.328038488908</v>
      </c>
      <c r="AI17" s="128">
        <f>(AI16)/((1+'BCA Summary'!$D$3)^(AI$13-'BCA Summary'!$C$37))</f>
        <v>-16412.456110737297</v>
      </c>
      <c r="AJ17" s="128">
        <f>(AJ16)/((1+'BCA Summary'!$D$3)^(AJ$13-'BCA Summary'!$C$37))</f>
        <v>-15338.744028726445</v>
      </c>
      <c r="AK17" s="128">
        <f>(AK16)/((1+'BCA Summary'!$D$3)^(AK$13-'BCA Summary'!$C$37))</f>
        <v>-741775.13502002577</v>
      </c>
      <c r="AL17" s="128">
        <f>(AL16)/((1+'BCA Summary'!$D$3)^(AL$13-'BCA Summary'!$C$37))</f>
        <v>-13397.453077759143</v>
      </c>
      <c r="AM17" s="128">
        <f>(AM16)/((1+'BCA Summary'!$D$3)^(AM$13-'BCA Summary'!$C$37))</f>
        <v>442821.71394788095</v>
      </c>
      <c r="AN17" s="128">
        <f>(AN16)/((1+'BCA Summary'!$D$3)^(AN$13-'BCA Summary'!$C$37))</f>
        <v>-11701.854378337974</v>
      </c>
      <c r="AO17" s="128">
        <f>(AO16)/((1+'BCA Summary'!$D$3)^(AO$13-'BCA Summary'!$C$37))</f>
        <v>-10936.312503119601</v>
      </c>
      <c r="AP17" s="128">
        <f>(AP16)/((1+'BCA Summary'!$D$3)^(AP$13-'BCA Summary'!$C$37))</f>
        <v>-10220.852806653831</v>
      </c>
    </row>
    <row r="18" spans="1:50">
      <c r="A18"/>
      <c r="B18" s="15"/>
      <c r="C18" s="135"/>
      <c r="D18" s="11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</row>
    <row r="19" spans="1:50" ht="15">
      <c r="A19" s="10" t="s">
        <v>422</v>
      </c>
      <c r="B19" s="15"/>
      <c r="C19" s="135"/>
      <c r="D19" s="11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</row>
    <row r="20" spans="1:50">
      <c r="A20"/>
      <c r="B20" s="15" t="s">
        <v>423</v>
      </c>
      <c r="C20" s="15"/>
      <c r="D20" s="118">
        <f t="shared" ref="D20" si="1">SUM(E20:AP20)</f>
        <v>1346262.1873614187</v>
      </c>
      <c r="E20" s="137">
        <f>'Summary of Benefits'!E$15*'Summary of Benefits'!$D$135</f>
        <v>0</v>
      </c>
      <c r="F20" s="137">
        <f>'Summary of Benefits'!F$15*'Summary of Benefits'!$D$135</f>
        <v>0</v>
      </c>
      <c r="G20" s="137">
        <f>'Summary of Benefits'!G$15*'Summary of Benefits'!$D$135</f>
        <v>0</v>
      </c>
      <c r="H20" s="137">
        <f>'Summary of Benefits'!H$15*'Summary of Benefits'!$D$135</f>
        <v>0</v>
      </c>
      <c r="I20" s="137">
        <f>'Summary of Benefits'!I$15*'Summary of Benefits'!$D$135</f>
        <v>0</v>
      </c>
      <c r="J20" s="137">
        <f>'Summary of Benefits'!J$15*'Summary of Benefits'!$D$135</f>
        <v>0</v>
      </c>
      <c r="K20" s="137">
        <f>'Summary of Benefits'!K$15*'Summary of Benefits'!$D$135</f>
        <v>0</v>
      </c>
      <c r="L20" s="137">
        <f>'Summary of Benefits'!L$15*'Summary of Benefits'!$D$135</f>
        <v>0</v>
      </c>
      <c r="M20" s="137">
        <f>'Summary of Benefits'!M$15*'Summary of Benefits'!$D$135</f>
        <v>0</v>
      </c>
      <c r="N20" s="137">
        <f>'Summary of Benefits'!N$15*'Summary of Benefits'!$D$135</f>
        <v>0</v>
      </c>
      <c r="O20" s="137">
        <f>'Summary of Benefits'!O$15*'Summary of Benefits'!$D$135</f>
        <v>0</v>
      </c>
      <c r="P20" s="137">
        <f>'Summary of Benefits'!P$15*'Summary of Benefits'!$D$135</f>
        <v>0</v>
      </c>
      <c r="Q20" s="137">
        <f>'Summary of Benefits'!Q$15*'Summary of Benefits'!$D$135</f>
        <v>0</v>
      </c>
      <c r="R20" s="137">
        <f>'Summary of Benefits'!R$15*'Summary of Benefits'!$D$135</f>
        <v>0</v>
      </c>
      <c r="S20" s="137">
        <f>'Summary of Benefits'!S$15*'Summary of Benefits'!$D$135</f>
        <v>0</v>
      </c>
      <c r="T20" s="137">
        <f>'Summary of Benefits'!T$15*'Summary of Benefits'!$D$135</f>
        <v>58533.138580931234</v>
      </c>
      <c r="U20" s="137">
        <f>'Summary of Benefits'!U$15*'Summary of Benefits'!$D$135</f>
        <v>58533.138580931234</v>
      </c>
      <c r="V20" s="137">
        <f>'Summary of Benefits'!V$15*'Summary of Benefits'!$D$135</f>
        <v>58533.138580931234</v>
      </c>
      <c r="W20" s="137">
        <f>'Summary of Benefits'!W$15*'Summary of Benefits'!$D$135</f>
        <v>58533.138580931234</v>
      </c>
      <c r="X20" s="137">
        <f>'Summary of Benefits'!X$15*'Summary of Benefits'!$D$135</f>
        <v>58533.138580931234</v>
      </c>
      <c r="Y20" s="137">
        <f>'Summary of Benefits'!Y$15*'Summary of Benefits'!$D$135</f>
        <v>58533.138580931234</v>
      </c>
      <c r="Z20" s="137">
        <f>'Summary of Benefits'!Z$15*'Summary of Benefits'!$D$135</f>
        <v>58533.138580931234</v>
      </c>
      <c r="AA20" s="137">
        <f>'Summary of Benefits'!AA$15*'Summary of Benefits'!$D$135</f>
        <v>58533.138580931234</v>
      </c>
      <c r="AB20" s="137">
        <f>'Summary of Benefits'!AB$15*'Summary of Benefits'!$D$135</f>
        <v>58533.138580931234</v>
      </c>
      <c r="AC20" s="137">
        <f>'Summary of Benefits'!AC$15*'Summary of Benefits'!$D$135</f>
        <v>58533.138580931234</v>
      </c>
      <c r="AD20" s="137">
        <f>'Summary of Benefits'!AD$15*'Summary of Benefits'!$D$135</f>
        <v>58533.138580931234</v>
      </c>
      <c r="AE20" s="137">
        <f>'Summary of Benefits'!AE$15*'Summary of Benefits'!$D$135</f>
        <v>58533.138580931234</v>
      </c>
      <c r="AF20" s="137">
        <f>'Summary of Benefits'!AF$15*'Summary of Benefits'!$D$135</f>
        <v>58533.138580931234</v>
      </c>
      <c r="AG20" s="137">
        <f>'Summary of Benefits'!AG$15*'Summary of Benefits'!$D$135</f>
        <v>58533.138580931234</v>
      </c>
      <c r="AH20" s="137">
        <f>'Summary of Benefits'!AH$15*'Summary of Benefits'!$D$135</f>
        <v>58533.138580931234</v>
      </c>
      <c r="AI20" s="137">
        <f>'Summary of Benefits'!AI$15*'Summary of Benefits'!$D$135</f>
        <v>58533.138580931234</v>
      </c>
      <c r="AJ20" s="137">
        <f>'Summary of Benefits'!AJ$15*'Summary of Benefits'!$D$135</f>
        <v>58533.138580931234</v>
      </c>
      <c r="AK20" s="137">
        <f>'Summary of Benefits'!AK$15*'Summary of Benefits'!$D$135</f>
        <v>58533.138580931234</v>
      </c>
      <c r="AL20" s="137">
        <f>'Summary of Benefits'!AL$15*'Summary of Benefits'!$D$135</f>
        <v>58533.138580931234</v>
      </c>
      <c r="AM20" s="137">
        <f>'Summary of Benefits'!AM$15*'Summary of Benefits'!$D$135</f>
        <v>58533.138580931234</v>
      </c>
      <c r="AN20" s="137">
        <f>'Summary of Benefits'!AN$15*'Summary of Benefits'!$D$135</f>
        <v>58533.138580931234</v>
      </c>
      <c r="AO20" s="137">
        <f>'Summary of Benefits'!AO$15*'Summary of Benefits'!$D$135</f>
        <v>58533.138580931234</v>
      </c>
      <c r="AP20" s="137">
        <f>'Summary of Benefits'!AP$15*'Summary of Benefits'!$D$135</f>
        <v>58533.138580931234</v>
      </c>
    </row>
    <row r="21" spans="1:50">
      <c r="A21"/>
      <c r="B21" s="15"/>
      <c r="C21" s="135" t="s">
        <v>446</v>
      </c>
      <c r="D21" s="118">
        <f>SUM(E21:AP21)</f>
        <v>384007.57369269541</v>
      </c>
      <c r="E21" s="128">
        <f>(E20)/((1+'BCA Summary'!$D$3)^(E$13-'BCA Summary'!$C$37))</f>
        <v>0</v>
      </c>
      <c r="F21" s="128">
        <f>(F20)/((1+'BCA Summary'!$D$3)^(F$13-'BCA Summary'!$C$37))</f>
        <v>0</v>
      </c>
      <c r="G21" s="128">
        <f>(G20)/((1+'BCA Summary'!$D$3)^(G$13-'BCA Summary'!$C$37))</f>
        <v>0</v>
      </c>
      <c r="H21" s="128">
        <f>(H20)/((1+'BCA Summary'!$D$3)^(H$13-'BCA Summary'!$C$37))</f>
        <v>0</v>
      </c>
      <c r="I21" s="128">
        <f>(I20)/((1+'BCA Summary'!$D$3)^(I$13-'BCA Summary'!$C$37))</f>
        <v>0</v>
      </c>
      <c r="J21" s="128">
        <f>(J20)/((1+'BCA Summary'!$D$3)^(J$13-'BCA Summary'!$C$37))</f>
        <v>0</v>
      </c>
      <c r="K21" s="128">
        <f>(K20)/((1+'BCA Summary'!$D$3)^(K$13-'BCA Summary'!$C$37))</f>
        <v>0</v>
      </c>
      <c r="L21" s="128">
        <f>(L20)/((1+'BCA Summary'!$D$3)^(L$13-'BCA Summary'!$C$37))</f>
        <v>0</v>
      </c>
      <c r="M21" s="128">
        <f>(M20)/((1+'BCA Summary'!$D$3)^(M$13-'BCA Summary'!$C$37))</f>
        <v>0</v>
      </c>
      <c r="N21" s="128">
        <f>(N20)/((1+'BCA Summary'!$D$3)^(N$13-'BCA Summary'!$C$37))</f>
        <v>0</v>
      </c>
      <c r="O21" s="128">
        <f>(O20)/((1+'BCA Summary'!$D$3)^(O$13-'BCA Summary'!$C$37))</f>
        <v>0</v>
      </c>
      <c r="P21" s="128">
        <f>(P20)/((1+'BCA Summary'!$D$3)^(P$13-'BCA Summary'!$C$37))</f>
        <v>0</v>
      </c>
      <c r="Q21" s="128">
        <f>(Q20)/((1+'BCA Summary'!$D$3)^(Q$13-'BCA Summary'!$C$37))</f>
        <v>0</v>
      </c>
      <c r="R21" s="128">
        <f>(R20)/((1+'BCA Summary'!$D$3)^(R$13-'BCA Summary'!$C$37))</f>
        <v>0</v>
      </c>
      <c r="S21" s="128">
        <f>(S20)/((1+'BCA Summary'!$D$3)^(S$13-'BCA Summary'!$C$37))</f>
        <v>0</v>
      </c>
      <c r="T21" s="128">
        <f>(T20)/((1+'BCA Summary'!$D$3)^(T$13-'BCA Summary'!$C$37))</f>
        <v>31838.149133522511</v>
      </c>
      <c r="U21" s="128">
        <f>(U20)/((1+'BCA Summary'!$D$3)^(U$13-'BCA Summary'!$C$37))</f>
        <v>29755.279564039734</v>
      </c>
      <c r="V21" s="128">
        <f>(V20)/((1+'BCA Summary'!$D$3)^(V$13-'BCA Summary'!$C$37))</f>
        <v>27808.672489756755</v>
      </c>
      <c r="W21" s="128">
        <f>(W20)/((1+'BCA Summary'!$D$3)^(W$13-'BCA Summary'!$C$37))</f>
        <v>25989.413541828748</v>
      </c>
      <c r="X21" s="128">
        <f>(X20)/((1+'BCA Summary'!$D$3)^(X$13-'BCA Summary'!$C$37))</f>
        <v>24289.171534419391</v>
      </c>
      <c r="Y21" s="128">
        <f>(Y20)/((1+'BCA Summary'!$D$3)^(Y$13-'BCA Summary'!$C$37))</f>
        <v>22700.160312541488</v>
      </c>
      <c r="Z21" s="128">
        <f>(Z20)/((1+'BCA Summary'!$D$3)^(Z$13-'BCA Summary'!$C$37))</f>
        <v>21215.103095833161</v>
      </c>
      <c r="AA21" s="128">
        <f>(AA20)/((1+'BCA Summary'!$D$3)^(AA$13-'BCA Summary'!$C$37))</f>
        <v>19827.199154984268</v>
      </c>
      <c r="AB21" s="128">
        <f>(AB20)/((1+'BCA Summary'!$D$3)^(AB$13-'BCA Summary'!$C$37))</f>
        <v>18530.092668209596</v>
      </c>
      <c r="AC21" s="128">
        <f>(AC20)/((1+'BCA Summary'!$D$3)^(AC$13-'BCA Summary'!$C$37))</f>
        <v>17317.843615149155</v>
      </c>
      <c r="AD21" s="128">
        <f>(AD20)/((1+'BCA Summary'!$D$3)^(AD$13-'BCA Summary'!$C$37))</f>
        <v>16184.900574905751</v>
      </c>
      <c r="AE21" s="128">
        <f>(AE20)/((1+'BCA Summary'!$D$3)^(AE$13-'BCA Summary'!$C$37))</f>
        <v>15126.075303650236</v>
      </c>
      <c r="AF21" s="128">
        <f>(AF20)/((1+'BCA Summary'!$D$3)^(AF$13-'BCA Summary'!$C$37))</f>
        <v>14136.518975374051</v>
      </c>
      <c r="AG21" s="128">
        <f>(AG20)/((1+'BCA Summary'!$D$3)^(AG$13-'BCA Summary'!$C$37))</f>
        <v>13211.699976985094</v>
      </c>
      <c r="AH21" s="128">
        <f>(AH20)/((1+'BCA Summary'!$D$3)^(AH$13-'BCA Summary'!$C$37))</f>
        <v>12347.383156060836</v>
      </c>
      <c r="AI21" s="128">
        <f>(AI20)/((1+'BCA Summary'!$D$3)^(AI$13-'BCA Summary'!$C$37))</f>
        <v>11539.610426225079</v>
      </c>
      <c r="AJ21" s="128">
        <f>(AJ20)/((1+'BCA Summary'!$D$3)^(AJ$13-'BCA Summary'!$C$37))</f>
        <v>10784.682641331849</v>
      </c>
      <c r="AK21" s="128">
        <f>(AK20)/((1+'BCA Summary'!$D$3)^(AK$13-'BCA Summary'!$C$37))</f>
        <v>10079.142655450327</v>
      </c>
      <c r="AL21" s="128">
        <f>(AL20)/((1+'BCA Summary'!$D$3)^(AL$13-'BCA Summary'!$C$37))</f>
        <v>9419.7594910750704</v>
      </c>
      <c r="AM21" s="128">
        <f>(AM20)/((1+'BCA Summary'!$D$3)^(AM$13-'BCA Summary'!$C$37))</f>
        <v>8803.5135430608152</v>
      </c>
      <c r="AN21" s="128">
        <f>(AN20)/((1+'BCA Summary'!$D$3)^(AN$13-'BCA Summary'!$C$37))</f>
        <v>8227.5827505241268</v>
      </c>
      <c r="AO21" s="128">
        <f>(AO20)/((1+'BCA Summary'!$D$3)^(AO$13-'BCA Summary'!$C$37))</f>
        <v>7689.3296733870338</v>
      </c>
      <c r="AP21" s="128">
        <f>(AP20)/((1+'BCA Summary'!$D$3)^(AP$13-'BCA Summary'!$C$37))</f>
        <v>7186.2894143804042</v>
      </c>
    </row>
    <row r="22" spans="1:50">
      <c r="A22"/>
      <c r="B22" s="15" t="s">
        <v>400</v>
      </c>
      <c r="C22" s="15"/>
      <c r="D22" s="118">
        <f t="shared" ref="D22" si="2">SUM(E22:AP22)</f>
        <v>4153140.879157424</v>
      </c>
      <c r="E22" s="137">
        <f>'Summary of Benefits'!E$15*'Summary of Benefits'!$E$135</f>
        <v>0</v>
      </c>
      <c r="F22" s="137">
        <f>'Summary of Benefits'!F$15*'Summary of Benefits'!$E$135</f>
        <v>0</v>
      </c>
      <c r="G22" s="137">
        <f>'Summary of Benefits'!G$15*'Summary of Benefits'!$E$135</f>
        <v>0</v>
      </c>
      <c r="H22" s="137">
        <f>'Summary of Benefits'!H$15*'Summary of Benefits'!$E$135</f>
        <v>0</v>
      </c>
      <c r="I22" s="137">
        <f>'Summary of Benefits'!I$15*'Summary of Benefits'!$E$135</f>
        <v>0</v>
      </c>
      <c r="J22" s="137">
        <f>'Summary of Benefits'!J$15*'Summary of Benefits'!$E$135</f>
        <v>0</v>
      </c>
      <c r="K22" s="137">
        <f>'Summary of Benefits'!K$15*'Summary of Benefits'!$E$135</f>
        <v>0</v>
      </c>
      <c r="L22" s="137">
        <f>'Summary of Benefits'!L$15*'Summary of Benefits'!$E$135</f>
        <v>0</v>
      </c>
      <c r="M22" s="137">
        <f>'Summary of Benefits'!M$15*'Summary of Benefits'!$E$135</f>
        <v>0</v>
      </c>
      <c r="N22" s="137">
        <f>'Summary of Benefits'!N$15*'Summary of Benefits'!$E$135</f>
        <v>0</v>
      </c>
      <c r="O22" s="137">
        <f>'Summary of Benefits'!O$15*'Summary of Benefits'!$E$135</f>
        <v>0</v>
      </c>
      <c r="P22" s="137">
        <f>'Summary of Benefits'!P$15*'Summary of Benefits'!$E$135</f>
        <v>0</v>
      </c>
      <c r="Q22" s="137">
        <f>'Summary of Benefits'!Q$15*'Summary of Benefits'!$E$135</f>
        <v>0</v>
      </c>
      <c r="R22" s="137">
        <f>'Summary of Benefits'!R$15*'Summary of Benefits'!$E$135</f>
        <v>0</v>
      </c>
      <c r="S22" s="137">
        <f>'Summary of Benefits'!S$15*'Summary of Benefits'!$E$135</f>
        <v>0</v>
      </c>
      <c r="T22" s="137">
        <f>'Summary of Benefits'!T$15*'Summary of Benefits'!$E$135</f>
        <v>180571.34257206199</v>
      </c>
      <c r="U22" s="137">
        <f>'Summary of Benefits'!U$15*'Summary of Benefits'!$E$135</f>
        <v>180571.34257206199</v>
      </c>
      <c r="V22" s="137">
        <f>'Summary of Benefits'!V$15*'Summary of Benefits'!$E$135</f>
        <v>180571.34257206199</v>
      </c>
      <c r="W22" s="137">
        <f>'Summary of Benefits'!W$15*'Summary of Benefits'!$E$135</f>
        <v>180571.34257206199</v>
      </c>
      <c r="X22" s="137">
        <f>'Summary of Benefits'!X$15*'Summary of Benefits'!$E$135</f>
        <v>180571.34257206199</v>
      </c>
      <c r="Y22" s="137">
        <f>'Summary of Benefits'!Y$15*'Summary of Benefits'!$E$135</f>
        <v>180571.34257206199</v>
      </c>
      <c r="Z22" s="137">
        <f>'Summary of Benefits'!Z$15*'Summary of Benefits'!$E$135</f>
        <v>180571.34257206199</v>
      </c>
      <c r="AA22" s="137">
        <f>'Summary of Benefits'!AA$15*'Summary of Benefits'!$E$135</f>
        <v>180571.34257206199</v>
      </c>
      <c r="AB22" s="137">
        <f>'Summary of Benefits'!AB$15*'Summary of Benefits'!$E$135</f>
        <v>180571.34257206199</v>
      </c>
      <c r="AC22" s="137">
        <f>'Summary of Benefits'!AC$15*'Summary of Benefits'!$E$135</f>
        <v>180571.34257206199</v>
      </c>
      <c r="AD22" s="137">
        <f>'Summary of Benefits'!AD$15*'Summary of Benefits'!$E$135</f>
        <v>180571.34257206199</v>
      </c>
      <c r="AE22" s="137">
        <f>'Summary of Benefits'!AE$15*'Summary of Benefits'!$E$135</f>
        <v>180571.34257206199</v>
      </c>
      <c r="AF22" s="137">
        <f>'Summary of Benefits'!AF$15*'Summary of Benefits'!$E$135</f>
        <v>180571.34257206199</v>
      </c>
      <c r="AG22" s="137">
        <f>'Summary of Benefits'!AG$15*'Summary of Benefits'!$E$135</f>
        <v>180571.34257206199</v>
      </c>
      <c r="AH22" s="137">
        <f>'Summary of Benefits'!AH$15*'Summary of Benefits'!$E$135</f>
        <v>180571.34257206199</v>
      </c>
      <c r="AI22" s="137">
        <f>'Summary of Benefits'!AI$15*'Summary of Benefits'!$E$135</f>
        <v>180571.34257206199</v>
      </c>
      <c r="AJ22" s="137">
        <f>'Summary of Benefits'!AJ$15*'Summary of Benefits'!$E$135</f>
        <v>180571.34257206199</v>
      </c>
      <c r="AK22" s="137">
        <f>'Summary of Benefits'!AK$15*'Summary of Benefits'!$E$135</f>
        <v>180571.34257206199</v>
      </c>
      <c r="AL22" s="137">
        <f>'Summary of Benefits'!AL$15*'Summary of Benefits'!$E$135</f>
        <v>180571.34257206199</v>
      </c>
      <c r="AM22" s="137">
        <f>'Summary of Benefits'!AM$15*'Summary of Benefits'!$E$135</f>
        <v>180571.34257206199</v>
      </c>
      <c r="AN22" s="137">
        <f>'Summary of Benefits'!AN$15*'Summary of Benefits'!$E$135</f>
        <v>180571.34257206199</v>
      </c>
      <c r="AO22" s="137">
        <f>'Summary of Benefits'!AO$15*'Summary of Benefits'!$E$135</f>
        <v>180571.34257206199</v>
      </c>
      <c r="AP22" s="137">
        <f>'Summary of Benefits'!AP$15*'Summary of Benefits'!$E$135</f>
        <v>180571.34257206199</v>
      </c>
    </row>
    <row r="23" spans="1:50">
      <c r="A23"/>
      <c r="B23" s="15"/>
      <c r="C23" s="135" t="s">
        <v>446</v>
      </c>
      <c r="D23" s="118">
        <f>SUM(E23:AP23)</f>
        <v>1184641.1250210952</v>
      </c>
      <c r="E23" s="128">
        <f>(E22)/((1+'BCA Summary'!$D$3)^(E$13-'BCA Summary'!$C$37))</f>
        <v>0</v>
      </c>
      <c r="F23" s="128">
        <f>(F22)/((1+'BCA Summary'!$D$3)^(F$13-'BCA Summary'!$C$37))</f>
        <v>0</v>
      </c>
      <c r="G23" s="128">
        <f>(G22)/((1+'BCA Summary'!$D$3)^(G$13-'BCA Summary'!$C$37))</f>
        <v>0</v>
      </c>
      <c r="H23" s="128">
        <f>(H22)/((1+'BCA Summary'!$D$3)^(H$13-'BCA Summary'!$C$37))</f>
        <v>0</v>
      </c>
      <c r="I23" s="128">
        <f>(I22)/((1+'BCA Summary'!$D$3)^(I$13-'BCA Summary'!$C$37))</f>
        <v>0</v>
      </c>
      <c r="J23" s="128">
        <f>(J22)/((1+'BCA Summary'!$D$3)^(J$13-'BCA Summary'!$C$37))</f>
        <v>0</v>
      </c>
      <c r="K23" s="128">
        <f>(K22)/((1+'BCA Summary'!$D$3)^(K$13-'BCA Summary'!$C$37))</f>
        <v>0</v>
      </c>
      <c r="L23" s="128">
        <f>(L22)/((1+'BCA Summary'!$D$3)^(L$13-'BCA Summary'!$C$37))</f>
        <v>0</v>
      </c>
      <c r="M23" s="128">
        <f>(M22)/((1+'BCA Summary'!$D$3)^(M$13-'BCA Summary'!$C$37))</f>
        <v>0</v>
      </c>
      <c r="N23" s="128">
        <f>(N22)/((1+'BCA Summary'!$D$3)^(N$13-'BCA Summary'!$C$37))</f>
        <v>0</v>
      </c>
      <c r="O23" s="128">
        <f>(O22)/((1+'BCA Summary'!$D$3)^(O$13-'BCA Summary'!$C$37))</f>
        <v>0</v>
      </c>
      <c r="P23" s="128">
        <f>(P22)/((1+'BCA Summary'!$D$3)^(P$13-'BCA Summary'!$C$37))</f>
        <v>0</v>
      </c>
      <c r="Q23" s="128">
        <f>(Q22)/((1+'BCA Summary'!$D$3)^(Q$13-'BCA Summary'!$C$37))</f>
        <v>0</v>
      </c>
      <c r="R23" s="128">
        <f>(R22)/((1+'BCA Summary'!$D$3)^(R$13-'BCA Summary'!$C$37))</f>
        <v>0</v>
      </c>
      <c r="S23" s="128">
        <f>(S22)/((1+'BCA Summary'!$D$3)^(S$13-'BCA Summary'!$C$37))</f>
        <v>0</v>
      </c>
      <c r="T23" s="128">
        <f>(T22)/((1+'BCA Summary'!$D$3)^(T$13-'BCA Summary'!$C$37))</f>
        <v>98218.846168665972</v>
      </c>
      <c r="U23" s="128">
        <f>(U22)/((1+'BCA Summary'!$D$3)^(U$13-'BCA Summary'!$C$37))</f>
        <v>91793.314176323343</v>
      </c>
      <c r="V23" s="128">
        <f>(V22)/((1+'BCA Summary'!$D$3)^(V$13-'BCA Summary'!$C$37))</f>
        <v>85788.1440900218</v>
      </c>
      <c r="W23" s="128">
        <f>(W22)/((1+'BCA Summary'!$D$3)^(W$13-'BCA Summary'!$C$37))</f>
        <v>80175.835598151229</v>
      </c>
      <c r="X23" s="128">
        <f>(X22)/((1+'BCA Summary'!$D$3)^(X$13-'BCA Summary'!$C$37))</f>
        <v>74930.687474907696</v>
      </c>
      <c r="Y23" s="128">
        <f>(Y22)/((1+'BCA Summary'!$D$3)^(Y$13-'BCA Summary'!$C$37))</f>
        <v>70028.679883091303</v>
      </c>
      <c r="Z23" s="128">
        <f>(Z22)/((1+'BCA Summary'!$D$3)^(Z$13-'BCA Summary'!$C$37))</f>
        <v>65447.364376720834</v>
      </c>
      <c r="AA23" s="128">
        <f>(AA22)/((1+'BCA Summary'!$D$3)^(AA$13-'BCA Summary'!$C$37))</f>
        <v>61165.761099739109</v>
      </c>
      <c r="AB23" s="128">
        <f>(AB22)/((1+'BCA Summary'!$D$3)^(AB$13-'BCA Summary'!$C$37))</f>
        <v>57164.26271003655</v>
      </c>
      <c r="AC23" s="128">
        <f>(AC22)/((1+'BCA Summary'!$D$3)^(AC$13-'BCA Summary'!$C$37))</f>
        <v>53424.544588819204</v>
      </c>
      <c r="AD23" s="128">
        <f>(AD22)/((1+'BCA Summary'!$D$3)^(AD$13-'BCA Summary'!$C$37))</f>
        <v>49929.48092413009</v>
      </c>
      <c r="AE23" s="128">
        <f>(AE22)/((1+'BCA Summary'!$D$3)^(AE$13-'BCA Summary'!$C$37))</f>
        <v>46663.066284233733</v>
      </c>
      <c r="AF23" s="128">
        <f>(AF22)/((1+'BCA Summary'!$D$3)^(AF$13-'BCA Summary'!$C$37))</f>
        <v>43610.342321713768</v>
      </c>
      <c r="AG23" s="128">
        <f>(AG22)/((1+'BCA Summary'!$D$3)^(AG$13-'BCA Summary'!$C$37))</f>
        <v>40757.329272629693</v>
      </c>
      <c r="AH23" s="128">
        <f>(AH22)/((1+'BCA Summary'!$D$3)^(AH$13-'BCA Summary'!$C$37))</f>
        <v>38090.961937037093</v>
      </c>
      <c r="AI23" s="128">
        <f>(AI22)/((1+'BCA Summary'!$D$3)^(AI$13-'BCA Summary'!$C$37))</f>
        <v>35599.029847698213</v>
      </c>
      <c r="AJ23" s="128">
        <f>(AJ22)/((1+'BCA Summary'!$D$3)^(AJ$13-'BCA Summary'!$C$37))</f>
        <v>33270.121352988986</v>
      </c>
      <c r="AK23" s="128">
        <f>(AK22)/((1+'BCA Summary'!$D$3)^(AK$13-'BCA Summary'!$C$37))</f>
        <v>31093.571357933633</v>
      </c>
      <c r="AL23" s="128">
        <f>(AL22)/((1+'BCA Summary'!$D$3)^(AL$13-'BCA Summary'!$C$37))</f>
        <v>29059.412484050121</v>
      </c>
      <c r="AM23" s="128">
        <f>(AM22)/((1+'BCA Summary'!$D$3)^(AM$13-'BCA Summary'!$C$37))</f>
        <v>27158.32942434591</v>
      </c>
      <c r="AN23" s="128">
        <f>(AN22)/((1+'BCA Summary'!$D$3)^(AN$13-'BCA Summary'!$C$37))</f>
        <v>25381.616284435429</v>
      </c>
      <c r="AO23" s="128">
        <f>(AO22)/((1+'BCA Summary'!$D$3)^(AO$13-'BCA Summary'!$C$37))</f>
        <v>23721.136714425636</v>
      </c>
      <c r="AP23" s="128">
        <f>(AP22)/((1+'BCA Summary'!$D$3)^(AP$13-'BCA Summary'!$C$37))</f>
        <v>22169.28664899592</v>
      </c>
    </row>
    <row r="24" spans="1:50">
      <c r="A24" s="15"/>
      <c r="B24" s="15"/>
      <c r="C24" s="15"/>
      <c r="D24" s="118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1"/>
      <c r="AH24" s="121"/>
      <c r="AI24" s="121"/>
      <c r="AJ24" s="121"/>
      <c r="AK24" s="121"/>
      <c r="AL24" s="121"/>
      <c r="AM24" s="121"/>
      <c r="AN24" s="121"/>
      <c r="AO24" s="121"/>
      <c r="AP24" s="121"/>
    </row>
    <row r="25" spans="1:50" ht="15">
      <c r="A25" s="10" t="s">
        <v>182</v>
      </c>
      <c r="B25" s="10"/>
      <c r="D25" s="118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121"/>
      <c r="AN25" s="121"/>
      <c r="AO25" s="121"/>
      <c r="AP25" s="121"/>
    </row>
    <row r="26" spans="1:50">
      <c r="A26"/>
      <c r="B26" s="15" t="s">
        <v>104</v>
      </c>
      <c r="C26" s="15"/>
      <c r="D26" s="118">
        <f t="shared" si="0"/>
        <v>88862235.349333331</v>
      </c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7"/>
      <c r="AC26" s="128"/>
      <c r="AD26" s="137"/>
      <c r="AE26" s="128"/>
      <c r="AF26" s="137"/>
      <c r="AG26" s="128"/>
      <c r="AH26" s="137"/>
      <c r="AI26" s="128"/>
      <c r="AJ26" s="137"/>
      <c r="AK26" s="128"/>
      <c r="AL26" s="137"/>
      <c r="AM26" s="128"/>
      <c r="AN26" s="137"/>
      <c r="AO26" s="128"/>
      <c r="AP26" s="137">
        <f>'Residual Value'!K7</f>
        <v>88862235.349333331</v>
      </c>
    </row>
    <row r="27" spans="1:50">
      <c r="A27"/>
      <c r="B27" s="15"/>
      <c r="C27" s="135" t="s">
        <v>446</v>
      </c>
      <c r="D27" s="118">
        <f>SUM(E27:AP27)</f>
        <v>10909883.814723926</v>
      </c>
      <c r="E27" s="128">
        <f>(E26)/((1+'BCA Summary'!$D$3)^(E$13-2018))</f>
        <v>0</v>
      </c>
      <c r="F27" s="128">
        <f>(F26)/((1+'BCA Summary'!$D$3)^(F$13-2018))</f>
        <v>0</v>
      </c>
      <c r="G27" s="128">
        <f>(G26)/((1+'BCA Summary'!$D$3)^(G$13-2018))</f>
        <v>0</v>
      </c>
      <c r="H27" s="128">
        <f>(H26)/((1+'BCA Summary'!$D$3)^(H$13-2018))</f>
        <v>0</v>
      </c>
      <c r="I27" s="128">
        <f>(I26)/((1+'BCA Summary'!$D$3)^(I$13-2018))</f>
        <v>0</v>
      </c>
      <c r="J27" s="128">
        <f>(J26)/((1+'BCA Summary'!$D$3)^(J$13-2018))</f>
        <v>0</v>
      </c>
      <c r="K27" s="128">
        <f>(K26)/((1+'BCA Summary'!$D$3)^(K$13-2018))</f>
        <v>0</v>
      </c>
      <c r="L27" s="128">
        <f>(L26)/((1+'BCA Summary'!$D$3)^(L$13-2018))</f>
        <v>0</v>
      </c>
      <c r="M27" s="128">
        <f>(M26)/((1+'BCA Summary'!$D$3)^(M$13-2018))</f>
        <v>0</v>
      </c>
      <c r="N27" s="128">
        <f>(N26)/((1+'BCA Summary'!$D$3)^(N$13-2018))</f>
        <v>0</v>
      </c>
      <c r="O27" s="128">
        <f>(O26)/((1+'BCA Summary'!$D$3)^(O$13-2018))</f>
        <v>0</v>
      </c>
      <c r="P27" s="128">
        <f>(P26)/((1+'BCA Summary'!$D$3)^(P$13-2018))</f>
        <v>0</v>
      </c>
      <c r="Q27" s="128">
        <f>(Q26)/((1+'BCA Summary'!$D$3)^(Q$13-2018))</f>
        <v>0</v>
      </c>
      <c r="R27" s="128">
        <f>(R26)/((1+'BCA Summary'!$D$3)^(R$13-2018))</f>
        <v>0</v>
      </c>
      <c r="S27" s="128">
        <f>(S26)/((1+'BCA Summary'!$D$3)^(S$13-2018))</f>
        <v>0</v>
      </c>
      <c r="T27" s="128">
        <f>(T26)/((1+'BCA Summary'!$D$3)^(T$13-2018))</f>
        <v>0</v>
      </c>
      <c r="U27" s="128">
        <f>(U26)/((1+'BCA Summary'!$D$3)^(U$13-2018))</f>
        <v>0</v>
      </c>
      <c r="V27" s="128">
        <f>(V26)/((1+'BCA Summary'!$D$3)^(V$13-2018))</f>
        <v>0</v>
      </c>
      <c r="W27" s="128">
        <f>(W26)/((1+'BCA Summary'!$D$3)^(W$13-2018))</f>
        <v>0</v>
      </c>
      <c r="X27" s="128">
        <f>(X26)/((1+'BCA Summary'!$D$3)^(X$13-2018))</f>
        <v>0</v>
      </c>
      <c r="Y27" s="128">
        <f>(Y26)/((1+'BCA Summary'!$D$3)^(Y$13-2018))</f>
        <v>0</v>
      </c>
      <c r="Z27" s="128">
        <f>(Z26)/((1+'BCA Summary'!$D$3)^(Z$13-2018))</f>
        <v>0</v>
      </c>
      <c r="AA27" s="128">
        <f>(AA26)/((1+'BCA Summary'!$D$3)^(AA$13-2018))</f>
        <v>0</v>
      </c>
      <c r="AB27" s="128">
        <f>(AB26)/((1+'BCA Summary'!$D$3)^(AB$13-2018))</f>
        <v>0</v>
      </c>
      <c r="AC27" s="128">
        <f>(AC26)/((1+'BCA Summary'!$D$3)^(AC$13-2018))</f>
        <v>0</v>
      </c>
      <c r="AD27" s="128">
        <f>(AD26)/((1+'BCA Summary'!$D$3)^(AD$13-2018))</f>
        <v>0</v>
      </c>
      <c r="AE27" s="128">
        <f>(AE26)/((1+'BCA Summary'!$D$3)^(AE$13-2018))</f>
        <v>0</v>
      </c>
      <c r="AF27" s="128">
        <f>(AF26)/((1+'BCA Summary'!$D$3)^(AF$13-2018))</f>
        <v>0</v>
      </c>
      <c r="AG27" s="128">
        <f>(AG26)/((1+'BCA Summary'!$D$3)^(AG$13-2018))</f>
        <v>0</v>
      </c>
      <c r="AH27" s="128">
        <f>(AH26)/((1+'BCA Summary'!$D$3)^(AH$13-2018))</f>
        <v>0</v>
      </c>
      <c r="AI27" s="128">
        <f>(AI26)/((1+'BCA Summary'!$D$3)^(AI$13-2018))</f>
        <v>0</v>
      </c>
      <c r="AJ27" s="128">
        <f>(AJ26)/((1+'BCA Summary'!$D$3)^(AJ$13-2018))</f>
        <v>0</v>
      </c>
      <c r="AK27" s="128">
        <f>(AK26)/((1+'BCA Summary'!$D$3)^(AK$13-2018))</f>
        <v>0</v>
      </c>
      <c r="AL27" s="128">
        <f>(AL26)/((1+'BCA Summary'!$D$3)^(AL$13-2018))</f>
        <v>0</v>
      </c>
      <c r="AM27" s="128">
        <f>(AM26)/((1+'BCA Summary'!$D$3)^(AM$13-2018))</f>
        <v>0</v>
      </c>
      <c r="AN27" s="128">
        <f>(AN26)/((1+'BCA Summary'!$D$3)^(AN$13-2018))</f>
        <v>0</v>
      </c>
      <c r="AO27" s="128">
        <f>(AO26)/((1+'BCA Summary'!$D$3)^(AO$13-2018))</f>
        <v>0</v>
      </c>
      <c r="AP27" s="128">
        <f>(AP26)/((1+'BCA Summary'!$D$3)^(AP$13-'BCA Summary'!$C$37))</f>
        <v>10909883.814723926</v>
      </c>
    </row>
    <row r="28" spans="1:50">
      <c r="A28" s="15"/>
      <c r="B28" s="15"/>
      <c r="C28" s="15"/>
      <c r="D28" s="118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21"/>
      <c r="AI28" s="121"/>
      <c r="AJ28" s="121"/>
      <c r="AK28" s="121"/>
      <c r="AL28" s="121"/>
      <c r="AM28" s="121"/>
      <c r="AN28" s="121"/>
      <c r="AO28" s="121"/>
      <c r="AP28" s="121"/>
    </row>
    <row r="29" spans="1:50" ht="15">
      <c r="A29" s="10" t="s">
        <v>8</v>
      </c>
      <c r="B29" s="10"/>
      <c r="D29" s="118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  <c r="AA29" s="121"/>
      <c r="AB29" s="121"/>
      <c r="AC29" s="121"/>
      <c r="AD29" s="121"/>
      <c r="AE29" s="121"/>
      <c r="AF29" s="121"/>
      <c r="AG29" s="121"/>
      <c r="AH29" s="121"/>
      <c r="AI29" s="121"/>
      <c r="AJ29" s="121"/>
      <c r="AK29" s="121"/>
      <c r="AL29" s="121"/>
      <c r="AM29" s="121"/>
      <c r="AN29" s="121"/>
      <c r="AO29" s="121"/>
      <c r="AP29" s="121"/>
    </row>
    <row r="30" spans="1:50">
      <c r="A30" s="15"/>
      <c r="B30" s="15" t="s">
        <v>13</v>
      </c>
      <c r="D30" s="118">
        <f>SUM(E30:AP30)</f>
        <v>0</v>
      </c>
      <c r="E30" s="121">
        <f>'Summary of Benefits'!H20*'Summary of Benefits'!$D$82</f>
        <v>0</v>
      </c>
      <c r="F30" s="121">
        <f>'Summary of Benefits'!I20*'Summary of Benefits'!$D$82</f>
        <v>0</v>
      </c>
      <c r="G30" s="121">
        <f>'Summary of Benefits'!J20*'Summary of Benefits'!$D$82</f>
        <v>0</v>
      </c>
      <c r="H30" s="121">
        <f>'Summary of Benefits'!K20*'Summary of Benefits'!$D$82</f>
        <v>0</v>
      </c>
      <c r="I30" s="121">
        <f>'Summary of Benefits'!L20*'Summary of Benefits'!$D$82</f>
        <v>0</v>
      </c>
      <c r="J30" s="121">
        <f>'Summary of Benefits'!M20*'Summary of Benefits'!$D$82</f>
        <v>0</v>
      </c>
      <c r="K30" s="121">
        <f>'Summary of Benefits'!N20*'Summary of Benefits'!$D$82</f>
        <v>0</v>
      </c>
      <c r="L30" s="121">
        <f>'Summary of Benefits'!O20*'Summary of Benefits'!$D$82</f>
        <v>0</v>
      </c>
      <c r="M30" s="121">
        <f>'Summary of Benefits'!P20*'Summary of Benefits'!$D$82</f>
        <v>0</v>
      </c>
      <c r="N30" s="121">
        <f>'Summary of Benefits'!Q20*'Summary of Benefits'!$D$82</f>
        <v>0</v>
      </c>
      <c r="O30" s="121">
        <f>'Summary of Benefits'!R20*'Summary of Benefits'!$D$82</f>
        <v>0</v>
      </c>
      <c r="P30" s="121">
        <f>'Summary of Benefits'!S20*'Summary of Benefits'!$D$82</f>
        <v>0</v>
      </c>
      <c r="Q30" s="121">
        <f>'Summary of Benefits'!T20*'Summary of Benefits'!$D$82</f>
        <v>0</v>
      </c>
      <c r="R30" s="121">
        <f>'Summary of Benefits'!U20*'Summary of Benefits'!$D$82</f>
        <v>0</v>
      </c>
      <c r="S30" s="121">
        <f>'Summary of Benefits'!V20*'Summary of Benefits'!$D$82</f>
        <v>0</v>
      </c>
      <c r="T30" s="121">
        <f>'Summary of Benefits'!W20*'Summary of Benefits'!$D$82</f>
        <v>0</v>
      </c>
      <c r="U30" s="121">
        <f>'Summary of Benefits'!X20*'Summary of Benefits'!$D$82</f>
        <v>0</v>
      </c>
      <c r="V30" s="121">
        <f>'Summary of Benefits'!Y20*'Summary of Benefits'!$D$82</f>
        <v>0</v>
      </c>
      <c r="W30" s="121">
        <f>'Summary of Benefits'!Z20*'Summary of Benefits'!$D$82</f>
        <v>0</v>
      </c>
      <c r="X30" s="121">
        <f>'Summary of Benefits'!AA20*'Summary of Benefits'!$D$82</f>
        <v>0</v>
      </c>
      <c r="Y30" s="121">
        <f>'Summary of Benefits'!AB20*'Summary of Benefits'!$D$82</f>
        <v>0</v>
      </c>
      <c r="Z30" s="121">
        <f>'Summary of Benefits'!AC20*'Summary of Benefits'!$D$82</f>
        <v>0</v>
      </c>
      <c r="AA30" s="121">
        <f>'Summary of Benefits'!AD20*'Summary of Benefits'!$D$82</f>
        <v>0</v>
      </c>
      <c r="AB30" s="121">
        <f>'Summary of Benefits'!AE20*'Summary of Benefits'!$D$82</f>
        <v>0</v>
      </c>
      <c r="AC30" s="121">
        <f>'Summary of Benefits'!AF20*'Summary of Benefits'!$D$82</f>
        <v>0</v>
      </c>
      <c r="AD30" s="121">
        <f>'Summary of Benefits'!AG20*'Summary of Benefits'!$D$82</f>
        <v>0</v>
      </c>
      <c r="AE30" s="121">
        <f>'Summary of Benefits'!AH20*'Summary of Benefits'!$D$82</f>
        <v>0</v>
      </c>
      <c r="AF30" s="121">
        <f>'Summary of Benefits'!AI20*'Summary of Benefits'!$D$82</f>
        <v>0</v>
      </c>
      <c r="AG30" s="121">
        <f>'Summary of Benefits'!AJ20*'Summary of Benefits'!$D$82</f>
        <v>0</v>
      </c>
      <c r="AH30" s="121">
        <f>'Summary of Benefits'!AK20*'Summary of Benefits'!$D$82</f>
        <v>0</v>
      </c>
      <c r="AI30" s="121">
        <f>'Summary of Benefits'!AL20*'Summary of Benefits'!$D$82</f>
        <v>0</v>
      </c>
      <c r="AJ30" s="121">
        <f>'Summary of Benefits'!AM20*'Summary of Benefits'!$D$82</f>
        <v>0</v>
      </c>
      <c r="AK30" s="121">
        <f>'Summary of Benefits'!AN20*'Summary of Benefits'!$D$82</f>
        <v>0</v>
      </c>
      <c r="AL30" s="121">
        <f>'Summary of Benefits'!AO20*'Summary of Benefits'!$D$82</f>
        <v>0</v>
      </c>
      <c r="AM30" s="121">
        <f>'Summary of Benefits'!AP20*'Summary of Benefits'!$D$82</f>
        <v>0</v>
      </c>
      <c r="AN30" s="121">
        <f>'Summary of Benefits'!AQ20*'Summary of Benefits'!$D$82</f>
        <v>0</v>
      </c>
      <c r="AO30" s="121">
        <f>'Summary of Benefits'!AR20*'Summary of Benefits'!$D$82</f>
        <v>0</v>
      </c>
      <c r="AP30" s="121">
        <f>'Summary of Benefits'!AS20*'Summary of Benefits'!$D$82</f>
        <v>0</v>
      </c>
      <c r="AR30" s="177"/>
      <c r="AS30" s="177"/>
      <c r="AT30" s="177"/>
      <c r="AU30" s="177"/>
      <c r="AV30" s="177"/>
      <c r="AW30" s="177"/>
      <c r="AX30" s="208"/>
    </row>
    <row r="31" spans="1:50">
      <c r="A31" s="15"/>
      <c r="B31" s="15" t="s">
        <v>16</v>
      </c>
      <c r="D31" s="118">
        <f t="shared" ref="D31:D38" si="3">SUM(E31:AP31)</f>
        <v>3140374.212619348</v>
      </c>
      <c r="E31" s="121">
        <f>'Summary of Benefits'!H33*'Summary of Benefits'!$D$103</f>
        <v>0</v>
      </c>
      <c r="F31" s="121">
        <f>'Summary of Benefits'!I33*'Summary of Benefits'!$D$103</f>
        <v>0</v>
      </c>
      <c r="G31" s="121">
        <f>'Summary of Benefits'!J33*'Summary of Benefits'!$D$103</f>
        <v>0</v>
      </c>
      <c r="H31" s="121">
        <f>'Summary of Benefits'!K33*'Summary of Benefits'!$D$103</f>
        <v>0</v>
      </c>
      <c r="I31" s="121">
        <f>'Summary of Benefits'!L33*'Summary of Benefits'!$D$103</f>
        <v>0</v>
      </c>
      <c r="J31" s="121">
        <f>'Summary of Benefits'!M33*'Summary of Benefits'!$D$103</f>
        <v>0</v>
      </c>
      <c r="K31" s="121">
        <f>'Summary of Benefits'!N33*'Summary of Benefits'!$D$103</f>
        <v>0</v>
      </c>
      <c r="L31" s="121">
        <f>'Summary of Benefits'!O33*'Summary of Benefits'!$D$103</f>
        <v>0</v>
      </c>
      <c r="M31" s="121">
        <f>'Summary of Benefits'!P33*'Summary of Benefits'!$D$103</f>
        <v>0</v>
      </c>
      <c r="N31" s="121">
        <f>'Summary of Benefits'!Q33*'Summary of Benefits'!$D$103</f>
        <v>0</v>
      </c>
      <c r="O31" s="121">
        <f>'Summary of Benefits'!R33*'Summary of Benefits'!$D$103</f>
        <v>0</v>
      </c>
      <c r="P31" s="121">
        <f>'Summary of Benefits'!S33*'Summary of Benefits'!$D$103</f>
        <v>0</v>
      </c>
      <c r="Q31" s="121">
        <f>'Summary of Benefits'!T33*'Summary of Benefits'!$D$103</f>
        <v>115412.7751148167</v>
      </c>
      <c r="R31" s="121">
        <f>'Summary of Benefits'!U33*'Summary of Benefits'!$D$103</f>
        <v>116152.60059632195</v>
      </c>
      <c r="S31" s="121">
        <f>'Summary of Benefits'!V33*'Summary of Benefits'!$D$103</f>
        <v>116152.60059632195</v>
      </c>
      <c r="T31" s="121">
        <f>'Summary of Benefits'!W33*'Summary of Benefits'!$D$103</f>
        <v>116892.42607782719</v>
      </c>
      <c r="U31" s="121">
        <f>'Summary of Benefits'!X33*'Summary of Benefits'!$D$103</f>
        <v>116892.42607782719</v>
      </c>
      <c r="V31" s="121">
        <f>'Summary of Benefits'!Y33*'Summary of Benefits'!$D$103</f>
        <v>117632.25155933244</v>
      </c>
      <c r="W31" s="121">
        <f>'Summary of Benefits'!Z33*'Summary of Benefits'!$D$103</f>
        <v>117632.25155933244</v>
      </c>
      <c r="X31" s="121">
        <f>'Summary of Benefits'!AA33*'Summary of Benefits'!$D$103</f>
        <v>118741.9897815903</v>
      </c>
      <c r="Y31" s="121">
        <f>'Summary of Benefits'!AB33*'Summary of Benefits'!$D$103</f>
        <v>119481.81526309553</v>
      </c>
      <c r="Z31" s="121">
        <f>'Summary of Benefits'!AC33*'Summary of Benefits'!$D$103</f>
        <v>119481.81526309553</v>
      </c>
      <c r="AA31" s="121">
        <f>'Summary of Benefits'!AD33*'Summary of Benefits'!$D$103</f>
        <v>120221.64074460078</v>
      </c>
      <c r="AB31" s="121">
        <f>'Summary of Benefits'!AE33*'Summary of Benefits'!$D$103</f>
        <v>120221.64074460078</v>
      </c>
      <c r="AC31" s="121">
        <f>'Summary of Benefits'!AF33*'Summary of Benefits'!$D$103</f>
        <v>120221.64074460078</v>
      </c>
      <c r="AD31" s="121">
        <f>'Summary of Benefits'!AG33*'Summary of Benefits'!$D$103</f>
        <v>120961.466226106</v>
      </c>
      <c r="AE31" s="121">
        <f>'Summary of Benefits'!AH33*'Summary of Benefits'!$D$103</f>
        <v>120961.466226106</v>
      </c>
      <c r="AF31" s="121">
        <f>'Summary of Benefits'!AI33*'Summary of Benefits'!$D$103</f>
        <v>121886.24807798755</v>
      </c>
      <c r="AG31" s="121">
        <f>'Summary of Benefits'!AJ33*'Summary of Benefits'!$D$103</f>
        <v>121886.24807798755</v>
      </c>
      <c r="AH31" s="121">
        <f>'Summary of Benefits'!AK33*'Summary of Benefits'!$D$103</f>
        <v>121886.24807798755</v>
      </c>
      <c r="AI31" s="121">
        <f>'Summary of Benefits'!AL33*'Summary of Benefits'!$D$103</f>
        <v>122811.02992986908</v>
      </c>
      <c r="AJ31" s="121">
        <f>'Summary of Benefits'!AM33*'Summary of Benefits'!$D$103</f>
        <v>123920.76815212694</v>
      </c>
      <c r="AK31" s="121">
        <f>'Summary of Benefits'!AN33*'Summary of Benefits'!$D$103</f>
        <v>123920.76815212694</v>
      </c>
      <c r="AL31" s="121">
        <f>'Summary of Benefits'!AO33*'Summary of Benefits'!$D$103</f>
        <v>124845.55000400852</v>
      </c>
      <c r="AM31" s="121">
        <f>'Summary of Benefits'!AP33*'Summary of Benefits'!$D$103</f>
        <v>124845.55000400852</v>
      </c>
      <c r="AN31" s="121">
        <f>'Summary of Benefits'!AQ33*'Summary of Benefits'!$D$103</f>
        <v>125770.33185589004</v>
      </c>
      <c r="AO31" s="121">
        <f>'Summary of Benefits'!AR33*'Summary of Benefits'!$D$103</f>
        <v>125770.33185589004</v>
      </c>
      <c r="AP31" s="121">
        <f>'Summary of Benefits'!AS33*'Summary of Benefits'!$D$103</f>
        <v>125770.33185589004</v>
      </c>
    </row>
    <row r="32" spans="1:50">
      <c r="A32"/>
      <c r="B32" s="15"/>
      <c r="C32" s="135" t="s">
        <v>446</v>
      </c>
      <c r="D32" s="118">
        <f t="shared" si="3"/>
        <v>1005487.302254054</v>
      </c>
      <c r="E32" s="128">
        <f>(E30+E31)/((1+'BCA Summary'!$D$3)^(E$13-'BCA Summary'!$C$37))</f>
        <v>0</v>
      </c>
      <c r="F32" s="128">
        <f>(F30+F31)/((1+'BCA Summary'!$D$3)^(F$13-'BCA Summary'!$C$37))</f>
        <v>0</v>
      </c>
      <c r="G32" s="128">
        <f>(G30+G31)/((1+'BCA Summary'!$D$3)^(G$13-'BCA Summary'!$C$37))</f>
        <v>0</v>
      </c>
      <c r="H32" s="128">
        <f>(H30+H31)/((1+'BCA Summary'!$D$3)^(H$13-'BCA Summary'!$C$37))</f>
        <v>0</v>
      </c>
      <c r="I32" s="128">
        <f>(I30+I31)/((1+'BCA Summary'!$D$3)^(I$13-'BCA Summary'!$C$37))</f>
        <v>0</v>
      </c>
      <c r="J32" s="128">
        <f>(J30+J31)/((1+'BCA Summary'!$D$3)^(J$13-'BCA Summary'!$C$37))</f>
        <v>0</v>
      </c>
      <c r="K32" s="128">
        <f>(K30+K31)/((1+'BCA Summary'!$D$3)^(K$13-'BCA Summary'!$C$37))</f>
        <v>0</v>
      </c>
      <c r="L32" s="128">
        <f>(L30+L31)/((1+'BCA Summary'!$D$3)^(L$13-'BCA Summary'!$C$37))</f>
        <v>0</v>
      </c>
      <c r="M32" s="128">
        <f>(M30+M31)/((1+'BCA Summary'!$D$3)^(M$13-'BCA Summary'!$C$37))</f>
        <v>0</v>
      </c>
      <c r="N32" s="128">
        <f>(N30+N31)/((1+'BCA Summary'!$D$3)^(N$13-'BCA Summary'!$C$37))</f>
        <v>0</v>
      </c>
      <c r="O32" s="128">
        <f>(O30+O31)/((1+'BCA Summary'!$D$3)^(O$13-'BCA Summary'!$C$37))</f>
        <v>0</v>
      </c>
      <c r="P32" s="128">
        <f>(P30+P31)/((1+'BCA Summary'!$D$3)^(P$13-'BCA Summary'!$C$37))</f>
        <v>0</v>
      </c>
      <c r="Q32" s="128">
        <f>(Q30+Q31)/((1+'BCA Summary'!$D$3)^(Q$13-'BCA Summary'!$C$37))</f>
        <v>76904.40522684202</v>
      </c>
      <c r="R32" s="128">
        <f>(R30+R31)/((1+'BCA Summary'!$D$3)^(R$13-'BCA Summary'!$C$37))</f>
        <v>72334.002040583495</v>
      </c>
      <c r="S32" s="128">
        <f>(S30+S31)/((1+'BCA Summary'!$D$3)^(S$13-'BCA Summary'!$C$37))</f>
        <v>67601.871065965883</v>
      </c>
      <c r="T32" s="128">
        <f>(T30+T31)/((1+'BCA Summary'!$D$3)^(T$13-'BCA Summary'!$C$37))</f>
        <v>63581.734796253404</v>
      </c>
      <c r="U32" s="128">
        <f>(U30+U31)/((1+'BCA Summary'!$D$3)^(U$13-'BCA Summary'!$C$37))</f>
        <v>59422.182052573276</v>
      </c>
      <c r="V32" s="128">
        <f>(V30+V31)/((1+'BCA Summary'!$D$3)^(V$13-'BCA Summary'!$C$37))</f>
        <v>55886.235338691295</v>
      </c>
      <c r="W32" s="128">
        <f>(W30+W31)/((1+'BCA Summary'!$D$3)^(W$13-'BCA Summary'!$C$37))</f>
        <v>52230.126484758235</v>
      </c>
      <c r="X32" s="128">
        <f>(X30+X31)/((1+'BCA Summary'!$D$3)^(X$13-'BCA Summary'!$C$37))</f>
        <v>49273.70423090399</v>
      </c>
      <c r="Y32" s="128">
        <f>(Y30+Y31)/((1+'BCA Summary'!$D$3)^(Y$13-'BCA Summary'!$C$37))</f>
        <v>46337.107947075405</v>
      </c>
      <c r="Z32" s="128">
        <f>(Z30+Z31)/((1+'BCA Summary'!$D$3)^(Z$13-'BCA Summary'!$C$37))</f>
        <v>43305.70836175271</v>
      </c>
      <c r="AA32" s="128">
        <f>(AA30+AA31)/((1+'BCA Summary'!$D$3)^(AA$13-'BCA Summary'!$C$37))</f>
        <v>40723.229124069425</v>
      </c>
      <c r="AB32" s="128">
        <f>(AB30+AB31)/((1+'BCA Summary'!$D$3)^(AB$13-'BCA Summary'!$C$37))</f>
        <v>38059.092639317219</v>
      </c>
      <c r="AC32" s="128">
        <f>(AC30+AC31)/((1+'BCA Summary'!$D$3)^(AC$13-'BCA Summary'!$C$37))</f>
        <v>35569.245457305813</v>
      </c>
      <c r="AD32" s="128">
        <f>(AD30+AD31)/((1+'BCA Summary'!$D$3)^(AD$13-'BCA Summary'!$C$37))</f>
        <v>33446.853384727532</v>
      </c>
      <c r="AE32" s="128">
        <f>(AE30+AE31)/((1+'BCA Summary'!$D$3)^(AE$13-'BCA Summary'!$C$37))</f>
        <v>31258.74148105377</v>
      </c>
      <c r="AF32" s="128">
        <f>(AF30+AF31)/((1+'BCA Summary'!$D$3)^(AF$13-'BCA Summary'!$C$37))</f>
        <v>29437.124004707814</v>
      </c>
      <c r="AG32" s="128">
        <f>(AG30+AG31)/((1+'BCA Summary'!$D$3)^(AG$13-'BCA Summary'!$C$37))</f>
        <v>27511.330845521323</v>
      </c>
      <c r="AH32" s="128">
        <f>(AH30+AH31)/((1+'BCA Summary'!$D$3)^(AH$13-'BCA Summary'!$C$37))</f>
        <v>25711.524154692823</v>
      </c>
      <c r="AI32" s="128">
        <f>(AI30+AI31)/((1+'BCA Summary'!$D$3)^(AI$13-'BCA Summary'!$C$37))</f>
        <v>24211.779443104155</v>
      </c>
      <c r="AJ32" s="128">
        <f>(AJ30+AJ31)/((1+'BCA Summary'!$D$3)^(AJ$13-'BCA Summary'!$C$37))</f>
        <v>22832.29960995353</v>
      </c>
      <c r="AK32" s="128">
        <f>(AK30+AK31)/((1+'BCA Summary'!$D$3)^(AK$13-'BCA Summary'!$C$37))</f>
        <v>21338.597766311712</v>
      </c>
      <c r="AL32" s="128">
        <f>(AL30+AL31)/((1+'BCA Summary'!$D$3)^(AL$13-'BCA Summary'!$C$37))</f>
        <v>20091.44021796681</v>
      </c>
      <c r="AM32" s="128">
        <f>(AM30+AM31)/((1+'BCA Summary'!$D$3)^(AM$13-'BCA Summary'!$C$37))</f>
        <v>18777.046932679266</v>
      </c>
      <c r="AN32" s="128">
        <f>(AN30+AN31)/((1+'BCA Summary'!$D$3)^(AN$13-'BCA Summary'!$C$37))</f>
        <v>17678.63193384825</v>
      </c>
      <c r="AO32" s="128">
        <f>(AO30+AO31)/((1+'BCA Summary'!$D$3)^(AO$13-'BCA Summary'!$C$37))</f>
        <v>16522.085919484343</v>
      </c>
      <c r="AP32" s="128">
        <f>(AP30+AP31)/((1+'BCA Summary'!$D$3)^(AP$13-'BCA Summary'!$C$37))</f>
        <v>15441.201793910599</v>
      </c>
    </row>
    <row r="33" spans="1:50">
      <c r="A33" s="15"/>
      <c r="B33" s="15" t="s">
        <v>12</v>
      </c>
      <c r="D33" s="118">
        <f t="shared" si="3"/>
        <v>90805306.185415536</v>
      </c>
      <c r="E33" s="121">
        <f>'Summary of Benefits'!H24*'Summary of Benefits'!$D$79</f>
        <v>0</v>
      </c>
      <c r="F33" s="121">
        <f>'Summary of Benefits'!I24*'Summary of Benefits'!$D$79</f>
        <v>0</v>
      </c>
      <c r="G33" s="121">
        <f>'Summary of Benefits'!J24*'Summary of Benefits'!$D$79</f>
        <v>0</v>
      </c>
      <c r="H33" s="121">
        <f>'Summary of Benefits'!K24*'Summary of Benefits'!$D$79</f>
        <v>0</v>
      </c>
      <c r="I33" s="121">
        <f>'Summary of Benefits'!L24*'Summary of Benefits'!$D$79</f>
        <v>0</v>
      </c>
      <c r="J33" s="121">
        <f>'Summary of Benefits'!M24*'Summary of Benefits'!$D$79</f>
        <v>0</v>
      </c>
      <c r="K33" s="121">
        <f>'Summary of Benefits'!N24*'Summary of Benefits'!$D$79</f>
        <v>0</v>
      </c>
      <c r="L33" s="121">
        <f>'Summary of Benefits'!O24*'Summary of Benefits'!$D$79</f>
        <v>0</v>
      </c>
      <c r="M33" s="121">
        <f>'Summary of Benefits'!P24*'Summary of Benefits'!$D$79</f>
        <v>0</v>
      </c>
      <c r="N33" s="121">
        <f>'Summary of Benefits'!Q24*'Summary of Benefits'!$D$79</f>
        <v>0</v>
      </c>
      <c r="O33" s="121">
        <f>'Summary of Benefits'!R24*'Summary of Benefits'!$D$79</f>
        <v>0</v>
      </c>
      <c r="P33" s="121">
        <f>'Summary of Benefits'!S24*'Summary of Benefits'!$D$79</f>
        <v>0</v>
      </c>
      <c r="Q33" s="121">
        <f>'Summary of Benefits'!T24*'Summary of Benefits'!$D$79</f>
        <v>3002994.4534605816</v>
      </c>
      <c r="R33" s="121">
        <f>'Summary of Benefits'!U24*'Summary of Benefits'!$D$79</f>
        <v>3041506.0717311106</v>
      </c>
      <c r="S33" s="121">
        <f>'Summary of Benefits'!V24*'Summary of Benefits'!$D$79</f>
        <v>3080017.6900016419</v>
      </c>
      <c r="T33" s="121">
        <f>'Summary of Benefits'!W24*'Summary of Benefits'!$D$79</f>
        <v>3118529.3082721713</v>
      </c>
      <c r="U33" s="121">
        <f>'Summary of Benefits'!X24*'Summary of Benefits'!$D$79</f>
        <v>3157040.9265427017</v>
      </c>
      <c r="V33" s="121">
        <f>'Summary of Benefits'!Y24*'Summary of Benefits'!$D$79</f>
        <v>3195552.5448132316</v>
      </c>
      <c r="W33" s="121">
        <f>'Summary of Benefits'!Z24*'Summary of Benefits'!$D$79</f>
        <v>3234064.1630837605</v>
      </c>
      <c r="X33" s="121">
        <f>'Summary of Benefits'!AA24*'Summary of Benefits'!$D$79</f>
        <v>3272575.7813542914</v>
      </c>
      <c r="Y33" s="121">
        <f>'Summary of Benefits'!AB24*'Summary of Benefits'!$D$79</f>
        <v>3311087.3996248208</v>
      </c>
      <c r="Z33" s="121">
        <f>'Summary of Benefits'!AC24*'Summary of Benefits'!$D$79</f>
        <v>3349599.0178953507</v>
      </c>
      <c r="AA33" s="121">
        <f>'Summary of Benefits'!AD24*'Summary of Benefits'!$D$79</f>
        <v>3388110.6361658806</v>
      </c>
      <c r="AB33" s="121">
        <f>'Summary of Benefits'!AE24*'Summary of Benefits'!$D$79</f>
        <v>3428382.0415823958</v>
      </c>
      <c r="AC33" s="121">
        <f>'Summary of Benefits'!AF24*'Summary of Benefits'!$D$79</f>
        <v>3468653.4469989105</v>
      </c>
      <c r="AD33" s="121">
        <f>'Summary of Benefits'!AG24*'Summary of Benefits'!$D$79</f>
        <v>3508924.8524154252</v>
      </c>
      <c r="AE33" s="121">
        <f>'Summary of Benefits'!AH24*'Summary of Benefits'!$D$79</f>
        <v>3549196.25783194</v>
      </c>
      <c r="AF33" s="121">
        <f>'Summary of Benefits'!AI24*'Summary of Benefits'!$D$79</f>
        <v>3589467.6632484556</v>
      </c>
      <c r="AG33" s="121">
        <f>'Summary of Benefits'!AJ24*'Summary of Benefits'!$D$79</f>
        <v>3629739.0686649703</v>
      </c>
      <c r="AH33" s="121">
        <f>'Summary of Benefits'!AK24*'Summary of Benefits'!$D$79</f>
        <v>3670010.4740814841</v>
      </c>
      <c r="AI33" s="121">
        <f>'Summary of Benefits'!AL24*'Summary of Benefits'!$D$79</f>
        <v>3710281.8794980007</v>
      </c>
      <c r="AJ33" s="121">
        <f>'Summary of Benefits'!AM24*'Summary of Benefits'!$D$79</f>
        <v>3750553.2849145145</v>
      </c>
      <c r="AK33" s="121">
        <f>'Summary of Benefits'!AN24*'Summary of Benefits'!$D$79</f>
        <v>3790824.6903310283</v>
      </c>
      <c r="AL33" s="121">
        <f>'Summary of Benefits'!AO24*'Summary of Benefits'!$D$79</f>
        <v>3831096.095747543</v>
      </c>
      <c r="AM33" s="121">
        <f>'Summary of Benefits'!AP24*'Summary of Benefits'!$D$79</f>
        <v>3871367.5011640587</v>
      </c>
      <c r="AN33" s="121">
        <f>'Summary of Benefits'!AQ24*'Summary of Benefits'!$D$79</f>
        <v>3911638.9065805734</v>
      </c>
      <c r="AO33" s="121">
        <f>'Summary of Benefits'!AR24*'Summary of Benefits'!$D$79</f>
        <v>3951910.3119970891</v>
      </c>
      <c r="AP33" s="121">
        <f>'Summary of Benefits'!AS24*'Summary of Benefits'!$D$79</f>
        <v>3992181.7174136038</v>
      </c>
      <c r="AR33" s="177"/>
      <c r="AS33" s="177"/>
      <c r="AT33" s="177"/>
      <c r="AU33" s="177"/>
      <c r="AV33" s="177"/>
      <c r="AW33" s="177"/>
      <c r="AX33" s="177"/>
    </row>
    <row r="34" spans="1:50">
      <c r="A34" s="15"/>
      <c r="B34" s="15" t="s">
        <v>15</v>
      </c>
      <c r="D34" s="118">
        <f t="shared" si="3"/>
        <v>187637.20297686872</v>
      </c>
      <c r="E34" s="121">
        <f>'Summary of Benefits'!H37*'Summary of Benefits'!$D$102</f>
        <v>0</v>
      </c>
      <c r="F34" s="121">
        <f>'Summary of Benefits'!I37*'Summary of Benefits'!$D$102</f>
        <v>0</v>
      </c>
      <c r="G34" s="121">
        <f>'Summary of Benefits'!J37*'Summary of Benefits'!$D$102</f>
        <v>0</v>
      </c>
      <c r="H34" s="121">
        <f>'Summary of Benefits'!K37*'Summary of Benefits'!$D$102</f>
        <v>0</v>
      </c>
      <c r="I34" s="121">
        <f>'Summary of Benefits'!L37*'Summary of Benefits'!$D$102</f>
        <v>0</v>
      </c>
      <c r="J34" s="121">
        <f>'Summary of Benefits'!M37*'Summary of Benefits'!$D$102</f>
        <v>0</v>
      </c>
      <c r="K34" s="121">
        <f>'Summary of Benefits'!N37*'Summary of Benefits'!$D$102</f>
        <v>0</v>
      </c>
      <c r="L34" s="121">
        <f>'Summary of Benefits'!O37*'Summary of Benefits'!$D$102</f>
        <v>0</v>
      </c>
      <c r="M34" s="121">
        <f>'Summary of Benefits'!P37*'Summary of Benefits'!$D$102</f>
        <v>0</v>
      </c>
      <c r="N34" s="121">
        <f>'Summary of Benefits'!Q37*'Summary of Benefits'!$D$102</f>
        <v>0</v>
      </c>
      <c r="O34" s="121">
        <f>'Summary of Benefits'!R37*'Summary of Benefits'!$D$102</f>
        <v>0</v>
      </c>
      <c r="P34" s="121">
        <f>'Summary of Benefits'!S37*'Summary of Benefits'!$D$102</f>
        <v>0</v>
      </c>
      <c r="Q34" s="121">
        <f>'Summary of Benefits'!T37*'Summary of Benefits'!$D$102</f>
        <v>6894.4392641934592</v>
      </c>
      <c r="R34" s="121">
        <f>'Summary of Benefits'!U37*'Summary of Benefits'!$D$102</f>
        <v>6939.5446166348393</v>
      </c>
      <c r="S34" s="121">
        <f>'Summary of Benefits'!V37*'Summary of Benefits'!$D$102</f>
        <v>6939.5446166348393</v>
      </c>
      <c r="T34" s="121">
        <f>'Summary of Benefits'!W37*'Summary of Benefits'!$D$102</f>
        <v>6984.6499690762184</v>
      </c>
      <c r="U34" s="121">
        <f>'Summary of Benefits'!X37*'Summary of Benefits'!$D$102</f>
        <v>6984.6499690762184</v>
      </c>
      <c r="V34" s="121">
        <f>'Summary of Benefits'!Y37*'Summary of Benefits'!$D$102</f>
        <v>7029.7553215175994</v>
      </c>
      <c r="W34" s="121">
        <f>'Summary of Benefits'!Z37*'Summary of Benefits'!$D$102</f>
        <v>7029.7553215175994</v>
      </c>
      <c r="X34" s="121">
        <f>'Summary of Benefits'!AA37*'Summary of Benefits'!$D$102</f>
        <v>7092.3420745846051</v>
      </c>
      <c r="Y34" s="121">
        <f>'Summary of Benefits'!AB37*'Summary of Benefits'!$D$102</f>
        <v>7137.4474270259843</v>
      </c>
      <c r="Z34" s="121">
        <f>'Summary of Benefits'!AC37*'Summary of Benefits'!$D$102</f>
        <v>7137.4474270259843</v>
      </c>
      <c r="AA34" s="121">
        <f>'Summary of Benefits'!AD37*'Summary of Benefits'!$D$102</f>
        <v>7182.5527794673644</v>
      </c>
      <c r="AB34" s="121">
        <f>'Summary of Benefits'!AE37*'Summary of Benefits'!$D$102</f>
        <v>7182.5527794673644</v>
      </c>
      <c r="AC34" s="121">
        <f>'Summary of Benefits'!AF37*'Summary of Benefits'!$D$102</f>
        <v>7182.5527794673644</v>
      </c>
      <c r="AD34" s="121">
        <f>'Summary of Benefits'!AG37*'Summary of Benefits'!$D$102</f>
        <v>7227.6581319087445</v>
      </c>
      <c r="AE34" s="121">
        <f>'Summary of Benefits'!AH37*'Summary of Benefits'!$D$102</f>
        <v>7227.6581319087445</v>
      </c>
      <c r="AF34" s="121">
        <f>'Summary of Benefits'!AI37*'Summary of Benefits'!$D$102</f>
        <v>7284.0398224604687</v>
      </c>
      <c r="AG34" s="121">
        <f>'Summary of Benefits'!AJ37*'Summary of Benefits'!$D$102</f>
        <v>7284.0398224604687</v>
      </c>
      <c r="AH34" s="121">
        <f>'Summary of Benefits'!AK37*'Summary of Benefits'!$D$102</f>
        <v>7284.0398224604687</v>
      </c>
      <c r="AI34" s="121">
        <f>'Summary of Benefits'!AL37*'Summary of Benefits'!$D$102</f>
        <v>7340.4215130121947</v>
      </c>
      <c r="AJ34" s="121">
        <f>'Summary of Benefits'!AM37*'Summary of Benefits'!$D$102</f>
        <v>7403.0082660792004</v>
      </c>
      <c r="AK34" s="121">
        <f>'Summary of Benefits'!AN37*'Summary of Benefits'!$D$102</f>
        <v>7403.0082660792004</v>
      </c>
      <c r="AL34" s="121">
        <f>'Summary of Benefits'!AO37*'Summary of Benefits'!$D$102</f>
        <v>7459.3899566309256</v>
      </c>
      <c r="AM34" s="121">
        <f>'Summary of Benefits'!AP37*'Summary of Benefits'!$D$102</f>
        <v>7459.3899566309256</v>
      </c>
      <c r="AN34" s="121">
        <f>'Summary of Benefits'!AQ37*'Summary of Benefits'!$D$102</f>
        <v>7515.7716471826498</v>
      </c>
      <c r="AO34" s="121">
        <f>'Summary of Benefits'!AR37*'Summary of Benefits'!$D$102</f>
        <v>7515.7716471826498</v>
      </c>
      <c r="AP34" s="121">
        <f>'Summary of Benefits'!AS37*'Summary of Benefits'!$D$102</f>
        <v>7515.7716471826498</v>
      </c>
    </row>
    <row r="35" spans="1:50">
      <c r="A35"/>
      <c r="B35" s="15"/>
      <c r="C35" s="135" t="s">
        <v>446</v>
      </c>
      <c r="D35" s="118">
        <f t="shared" si="3"/>
        <v>28299471.755380578</v>
      </c>
      <c r="E35" s="128">
        <f>(E33+E34)/((1+'BCA Summary'!$D$3)^(E$13-'BCA Summary'!$C$37))</f>
        <v>0</v>
      </c>
      <c r="F35" s="128">
        <f>(F33+F34)/((1+'BCA Summary'!$D$3)^(F$13-'BCA Summary'!$C$37))</f>
        <v>0</v>
      </c>
      <c r="G35" s="128">
        <f>(G33+G34)/((1+'BCA Summary'!$D$3)^(G$13-'BCA Summary'!$C$37))</f>
        <v>0</v>
      </c>
      <c r="H35" s="128">
        <f>(H33+H34)/((1+'BCA Summary'!$D$3)^(H$13-'BCA Summary'!$C$37))</f>
        <v>0</v>
      </c>
      <c r="I35" s="128">
        <f>(I33+I34)/((1+'BCA Summary'!$D$3)^(I$13-'BCA Summary'!$C$37))</f>
        <v>0</v>
      </c>
      <c r="J35" s="128">
        <f>(J33+J34)/((1+'BCA Summary'!$D$3)^(J$13-'BCA Summary'!$C$37))</f>
        <v>0</v>
      </c>
      <c r="K35" s="128">
        <f>(K33+K34)/((1+'BCA Summary'!$D$3)^(K$13-'BCA Summary'!$C$37))</f>
        <v>0</v>
      </c>
      <c r="L35" s="128">
        <f>(L33+L34)/((1+'BCA Summary'!$D$3)^(L$13-'BCA Summary'!$C$37))</f>
        <v>0</v>
      </c>
      <c r="M35" s="128">
        <f>(M33+M34)/((1+'BCA Summary'!$D$3)^(M$13-'BCA Summary'!$C$37))</f>
        <v>0</v>
      </c>
      <c r="N35" s="128">
        <f>(N33+N34)/((1+'BCA Summary'!$D$3)^(N$13-'BCA Summary'!$C$37))</f>
        <v>0</v>
      </c>
      <c r="O35" s="128">
        <f>(O33+O34)/((1+'BCA Summary'!$D$3)^(O$13-'BCA Summary'!$C$37))</f>
        <v>0</v>
      </c>
      <c r="P35" s="128">
        <f>(P33+P34)/((1+'BCA Summary'!$D$3)^(P$13-'BCA Summary'!$C$37))</f>
        <v>0</v>
      </c>
      <c r="Q35" s="128">
        <f>(Q33+Q34)/((1+'BCA Summary'!$D$3)^(Q$13-'BCA Summary'!$C$37))</f>
        <v>2005616.0582188473</v>
      </c>
      <c r="R35" s="128">
        <f>(R33+R34)/((1+'BCA Summary'!$D$3)^(R$13-'BCA Summary'!$C$37))</f>
        <v>1898418.7207297718</v>
      </c>
      <c r="S35" s="128">
        <f>(S33+S34)/((1+'BCA Summary'!$D$3)^(S$13-'BCA Summary'!$C$37))</f>
        <v>1796637.2159507505</v>
      </c>
      <c r="T35" s="128">
        <f>(T33+T34)/((1+'BCA Summary'!$D$3)^(T$13-'BCA Summary'!$C$37))</f>
        <v>1700072.5048051563</v>
      </c>
      <c r="U35" s="128">
        <f>(U33+U34)/((1+'BCA Summary'!$D$3)^(U$13-'BCA Summary'!$C$37))</f>
        <v>1608430.1621159047</v>
      </c>
      <c r="V35" s="128">
        <f>(V33+V34)/((1+'BCA Summary'!$D$3)^(V$13-'BCA Summary'!$C$37))</f>
        <v>1521523.7806324074</v>
      </c>
      <c r="W35" s="128">
        <f>(W33+W34)/((1+'BCA Summary'!$D$3)^(W$13-'BCA Summary'!$C$37))</f>
        <v>1439084.4607943594</v>
      </c>
      <c r="X35" s="128">
        <f>(X33+X34)/((1+'BCA Summary'!$D$3)^(X$13-'BCA Summary'!$C$37))</f>
        <v>1360945.6720962997</v>
      </c>
      <c r="Y35" s="128">
        <f>(Y33+Y34)/((1+'BCA Summary'!$D$3)^(Y$13-'BCA Summary'!$C$37))</f>
        <v>1286864.8052587821</v>
      </c>
      <c r="Z35" s="128">
        <f>(Z33+Z34)/((1+'BCA Summary'!$D$3)^(Z$13-'BCA Summary'!$C$37))</f>
        <v>1216635.7708444591</v>
      </c>
      <c r="AA35" s="128">
        <f>(AA33+AA34)/((1+'BCA Summary'!$D$3)^(AA$13-'BCA Summary'!$C$37))</f>
        <v>1150103.2727589307</v>
      </c>
      <c r="AB35" s="128">
        <f>(AB33+AB34)/((1+'BCA Summary'!$D$3)^(AB$13-'BCA Summary'!$C$37))</f>
        <v>1087611.7673601846</v>
      </c>
      <c r="AC35" s="128">
        <f>(AC33+AC34)/((1+'BCA Summary'!$D$3)^(AC$13-'BCA Summary'!$C$37))</f>
        <v>1028374.4513860288</v>
      </c>
      <c r="AD35" s="128">
        <f>(AD33+AD34)/((1+'BCA Summary'!$D$3)^(AD$13-'BCA Summary'!$C$37))</f>
        <v>972245.46930332144</v>
      </c>
      <c r="AE35" s="128">
        <f>(AE33+AE34)/((1+'BCA Summary'!$D$3)^(AE$13-'BCA Summary'!$C$37))</f>
        <v>919047.52194677177</v>
      </c>
      <c r="AF35" s="128">
        <f>(AF33+AF34)/((1+'BCA Summary'!$D$3)^(AF$13-'BCA Summary'!$C$37))</f>
        <v>868662.60605296271</v>
      </c>
      <c r="AG35" s="128">
        <f>(AG33+AG34)/((1+'BCA Summary'!$D$3)^(AG$13-'BCA Summary'!$C$37))</f>
        <v>820923.99764723459</v>
      </c>
      <c r="AH35" s="128">
        <f>(AH33+AH34)/((1+'BCA Summary'!$D$3)^(AH$13-'BCA Summary'!$C$37))</f>
        <v>775713.81685048388</v>
      </c>
      <c r="AI35" s="128">
        <f>(AI33+AI34)/((1+'BCA Summary'!$D$3)^(AI$13-'BCA Summary'!$C$37))</f>
        <v>732916.67089058796</v>
      </c>
      <c r="AJ35" s="128">
        <f>(AJ33+AJ34)/((1+'BCA Summary'!$D$3)^(AJ$13-'BCA Summary'!$C$37))</f>
        <v>692400.35618304857</v>
      </c>
      <c r="AK35" s="128">
        <f>(AK33+AK34)/((1+'BCA Summary'!$D$3)^(AK$13-'BCA Summary'!$C$37))</f>
        <v>654037.69112963183</v>
      </c>
      <c r="AL35" s="128">
        <f>(AL33+AL34)/((1+'BCA Summary'!$D$3)^(AL$13-'BCA Summary'!$C$37))</f>
        <v>617740.14421737683</v>
      </c>
      <c r="AM35" s="128">
        <f>(AM33+AM34)/((1+'BCA Summary'!$D$3)^(AM$13-'BCA Summary'!$C$37))</f>
        <v>583384.14605865476</v>
      </c>
      <c r="AN35" s="128">
        <f>(AN33+AN34)/((1+'BCA Summary'!$D$3)^(AN$13-'BCA Summary'!$C$37))</f>
        <v>550887.41538502369</v>
      </c>
      <c r="AO35" s="128">
        <f>(AO33+AO34)/((1+'BCA Summary'!$D$3)^(AO$13-'BCA Summary'!$C$37))</f>
        <v>520138.39019503578</v>
      </c>
      <c r="AP35" s="128">
        <f>(AP33+AP34)/((1+'BCA Summary'!$D$3)^(AP$13-'BCA Summary'!$C$37))</f>
        <v>491054.88656856725</v>
      </c>
    </row>
    <row r="36" spans="1:50">
      <c r="A36" s="15"/>
      <c r="B36" s="15" t="s">
        <v>143</v>
      </c>
      <c r="D36" s="118">
        <f t="shared" si="3"/>
        <v>8585172.414968932</v>
      </c>
      <c r="E36" s="121">
        <f>'Summary of Benefits'!H28*'Summary of Benefits'!$D$76</f>
        <v>0</v>
      </c>
      <c r="F36" s="121">
        <f>'Summary of Benefits'!I28*'Summary of Benefits'!$D$76</f>
        <v>0</v>
      </c>
      <c r="G36" s="121">
        <f>'Summary of Benefits'!J28*'Summary of Benefits'!$D$76</f>
        <v>0</v>
      </c>
      <c r="H36" s="121">
        <f>'Summary of Benefits'!K28*'Summary of Benefits'!$D$76</f>
        <v>0</v>
      </c>
      <c r="I36" s="121">
        <f>'Summary of Benefits'!L28*'Summary of Benefits'!$D$76</f>
        <v>0</v>
      </c>
      <c r="J36" s="121">
        <f>'Summary of Benefits'!M28*'Summary of Benefits'!$D$76</f>
        <v>0</v>
      </c>
      <c r="K36" s="121">
        <f>'Summary of Benefits'!N28*'Summary of Benefits'!$D$76</f>
        <v>0</v>
      </c>
      <c r="L36" s="121">
        <f>'Summary of Benefits'!O28*'Summary of Benefits'!$D$76</f>
        <v>0</v>
      </c>
      <c r="M36" s="121">
        <f>'Summary of Benefits'!P28*'Summary of Benefits'!$D$76</f>
        <v>0</v>
      </c>
      <c r="N36" s="121">
        <f>'Summary of Benefits'!Q28*'Summary of Benefits'!$D$76</f>
        <v>0</v>
      </c>
      <c r="O36" s="121">
        <f>'Summary of Benefits'!R28*'Summary of Benefits'!$D$76</f>
        <v>0</v>
      </c>
      <c r="P36" s="121">
        <f>'Summary of Benefits'!S28*'Summary of Benefits'!$D$76</f>
        <v>0</v>
      </c>
      <c r="Q36" s="121">
        <f>'Summary of Benefits'!T28*'Summary of Benefits'!$D$76</f>
        <v>289554.7780930408</v>
      </c>
      <c r="R36" s="121">
        <f>'Summary of Benefits'!U28*'Summary of Benefits'!$D$76</f>
        <v>292742.22989040386</v>
      </c>
      <c r="S36" s="121">
        <f>'Summary of Benefits'!V28*'Summary of Benefits'!$D$76</f>
        <v>295929.68168776692</v>
      </c>
      <c r="T36" s="121">
        <f>'Summary of Benefits'!W28*'Summary of Benefits'!$D$76</f>
        <v>299117.1334851298</v>
      </c>
      <c r="U36" s="121">
        <f>'Summary of Benefits'!X28*'Summary of Benefits'!$D$76</f>
        <v>302304.58528249298</v>
      </c>
      <c r="V36" s="121">
        <f>'Summary of Benefits'!Y28*'Summary of Benefits'!$D$76</f>
        <v>305492.03707985597</v>
      </c>
      <c r="W36" s="121">
        <f>'Summary of Benefits'!Z28*'Summary of Benefits'!$D$76</f>
        <v>308679.48887721915</v>
      </c>
      <c r="X36" s="121">
        <f>'Summary of Benefits'!AA28*'Summary of Benefits'!$D$76</f>
        <v>311866.94067458215</v>
      </c>
      <c r="Y36" s="121">
        <f>'Summary of Benefits'!AB28*'Summary of Benefits'!$D$76</f>
        <v>315054.3924719452</v>
      </c>
      <c r="Z36" s="121">
        <f>'Summary of Benefits'!AC28*'Summary of Benefits'!$D$76</f>
        <v>318241.84426930826</v>
      </c>
      <c r="AA36" s="121">
        <f>'Summary of Benefits'!AD28*'Summary of Benefits'!$D$76</f>
        <v>321429.29606667132</v>
      </c>
      <c r="AB36" s="121">
        <f>'Summary of Benefits'!AE28*'Summary of Benefits'!$D$76</f>
        <v>324790.30078409176</v>
      </c>
      <c r="AC36" s="121">
        <f>'Summary of Benefits'!AF28*'Summary of Benefits'!$D$76</f>
        <v>328151.30550151208</v>
      </c>
      <c r="AD36" s="121">
        <f>'Summary of Benefits'!AG28*'Summary of Benefits'!$D$76</f>
        <v>331512.31021893246</v>
      </c>
      <c r="AE36" s="121">
        <f>'Summary of Benefits'!AH28*'Summary of Benefits'!$D$76</f>
        <v>334873.31493635278</v>
      </c>
      <c r="AF36" s="121">
        <f>'Summary of Benefits'!AI28*'Summary of Benefits'!$D$76</f>
        <v>338234.31965377321</v>
      </c>
      <c r="AG36" s="121">
        <f>'Summary of Benefits'!AJ28*'Summary of Benefits'!$D$76</f>
        <v>341595.32437119354</v>
      </c>
      <c r="AH36" s="121">
        <f>'Summary of Benefits'!AK28*'Summary of Benefits'!$D$76</f>
        <v>344956.32908861386</v>
      </c>
      <c r="AI36" s="121">
        <f>'Summary of Benefits'!AL28*'Summary of Benefits'!$D$76</f>
        <v>348317.33380603429</v>
      </c>
      <c r="AJ36" s="121">
        <f>'Summary of Benefits'!AM28*'Summary of Benefits'!$D$76</f>
        <v>351678.3385234545</v>
      </c>
      <c r="AK36" s="121">
        <f>'Summary of Benefits'!AN28*'Summary of Benefits'!$D$76</f>
        <v>355039.34324087494</v>
      </c>
      <c r="AL36" s="121">
        <f>'Summary of Benefits'!AO28*'Summary of Benefits'!$D$76</f>
        <v>358400.34795829537</v>
      </c>
      <c r="AM36" s="121">
        <f>'Summary of Benefits'!AP28*'Summary of Benefits'!$D$76</f>
        <v>361761.35267571569</v>
      </c>
      <c r="AN36" s="121">
        <f>'Summary of Benefits'!AQ28*'Summary of Benefits'!$D$76</f>
        <v>365122.35739313607</v>
      </c>
      <c r="AO36" s="121">
        <f>'Summary of Benefits'!AR28*'Summary of Benefits'!$D$76</f>
        <v>368483.36211055634</v>
      </c>
      <c r="AP36" s="121">
        <f>'Summary of Benefits'!AS28*'Summary of Benefits'!$D$76</f>
        <v>371844.36682797672</v>
      </c>
      <c r="AR36" s="177"/>
      <c r="AS36" s="177"/>
      <c r="AT36" s="177"/>
      <c r="AU36" s="177"/>
      <c r="AV36" s="177"/>
      <c r="AW36" s="177"/>
      <c r="AX36" s="177"/>
    </row>
    <row r="37" spans="1:50">
      <c r="A37" s="15"/>
      <c r="B37" s="15" t="s">
        <v>14</v>
      </c>
      <c r="D37" s="118">
        <f t="shared" si="3"/>
        <v>127634.3812122644</v>
      </c>
      <c r="E37" s="121">
        <f>'Summary of Benefits'!H41*'Summary of Benefits'!$D$101</f>
        <v>0</v>
      </c>
      <c r="F37" s="121">
        <f>'Summary of Benefits'!I41*'Summary of Benefits'!$D$101</f>
        <v>0</v>
      </c>
      <c r="G37" s="121">
        <f>'Summary of Benefits'!J41*'Summary of Benefits'!$D$101</f>
        <v>0</v>
      </c>
      <c r="H37" s="121">
        <f>'Summary of Benefits'!K41*'Summary of Benefits'!$D$101</f>
        <v>0</v>
      </c>
      <c r="I37" s="121">
        <f>'Summary of Benefits'!L41*'Summary of Benefits'!$D$101</f>
        <v>0</v>
      </c>
      <c r="J37" s="121">
        <f>'Summary of Benefits'!M41*'Summary of Benefits'!$D$101</f>
        <v>0</v>
      </c>
      <c r="K37" s="121">
        <f>'Summary of Benefits'!N41*'Summary of Benefits'!$D$101</f>
        <v>0</v>
      </c>
      <c r="L37" s="121">
        <f>'Summary of Benefits'!O41*'Summary of Benefits'!$D$101</f>
        <v>0</v>
      </c>
      <c r="M37" s="121">
        <f>'Summary of Benefits'!P41*'Summary of Benefits'!$D$101</f>
        <v>0</v>
      </c>
      <c r="N37" s="121">
        <f>'Summary of Benefits'!Q41*'Summary of Benefits'!$D$101</f>
        <v>0</v>
      </c>
      <c r="O37" s="121">
        <f>'Summary of Benefits'!R41*'Summary of Benefits'!$D$101</f>
        <v>0</v>
      </c>
      <c r="P37" s="121">
        <f>'Summary of Benefits'!S41*'Summary of Benefits'!$D$101</f>
        <v>0</v>
      </c>
      <c r="Q37" s="121">
        <f>'Summary of Benefits'!T41*'Summary of Benefits'!$D$101</f>
        <v>4691.2500646925773</v>
      </c>
      <c r="R37" s="121">
        <f>'Summary of Benefits'!U41*'Summary of Benefits'!$D$101</f>
        <v>4720.9979289441635</v>
      </c>
      <c r="S37" s="121">
        <f>'Summary of Benefits'!V41*'Summary of Benefits'!$D$101</f>
        <v>4720.9979289441635</v>
      </c>
      <c r="T37" s="121">
        <f>'Summary of Benefits'!W41*'Summary of Benefits'!$D$101</f>
        <v>4750.7457931957515</v>
      </c>
      <c r="U37" s="121">
        <f>'Summary of Benefits'!X41*'Summary of Benefits'!$D$101</f>
        <v>4750.7457931957515</v>
      </c>
      <c r="V37" s="121">
        <f>'Summary of Benefits'!Y41*'Summary of Benefits'!$D$101</f>
        <v>4780.4936574473377</v>
      </c>
      <c r="W37" s="121">
        <f>'Summary of Benefits'!Z41*'Summary of Benefits'!$D$101</f>
        <v>4780.4936574473377</v>
      </c>
      <c r="X37" s="121">
        <f>'Summary of Benefits'!AA41*'Summary of Benefits'!$D$101</f>
        <v>4826.9219981620417</v>
      </c>
      <c r="Y37" s="121">
        <f>'Summary of Benefits'!AB41*'Summary of Benefits'!$D$101</f>
        <v>4856.6698624136279</v>
      </c>
      <c r="Z37" s="121">
        <f>'Summary of Benefits'!AC41*'Summary of Benefits'!$D$101</f>
        <v>4856.6698624136279</v>
      </c>
      <c r="AA37" s="121">
        <f>'Summary of Benefits'!AD41*'Summary of Benefits'!$D$101</f>
        <v>4886.417726665215</v>
      </c>
      <c r="AB37" s="121">
        <f>'Summary of Benefits'!AE41*'Summary of Benefits'!$D$101</f>
        <v>4886.417726665215</v>
      </c>
      <c r="AC37" s="121">
        <f>'Summary of Benefits'!AF41*'Summary of Benefits'!$D$101</f>
        <v>4886.417726665215</v>
      </c>
      <c r="AD37" s="121">
        <f>'Summary of Benefits'!AG41*'Summary of Benefits'!$D$101</f>
        <v>4916.1655909168021</v>
      </c>
      <c r="AE37" s="121">
        <f>'Summary of Benefits'!AH41*'Summary of Benefits'!$D$101</f>
        <v>4916.1655909168021</v>
      </c>
      <c r="AF37" s="121">
        <f>'Summary of Benefits'!AI41*'Summary of Benefits'!$D$101</f>
        <v>4953.3504212312855</v>
      </c>
      <c r="AG37" s="121">
        <f>'Summary of Benefits'!AJ41*'Summary of Benefits'!$D$101</f>
        <v>4953.3504212312855</v>
      </c>
      <c r="AH37" s="121">
        <f>'Summary of Benefits'!AK41*'Summary of Benefits'!$D$101</f>
        <v>4953.3504212312855</v>
      </c>
      <c r="AI37" s="121">
        <f>'Summary of Benefits'!AL41*'Summary of Benefits'!$D$101</f>
        <v>4990.5352515457689</v>
      </c>
      <c r="AJ37" s="121">
        <f>'Summary of Benefits'!AM41*'Summary of Benefits'!$D$101</f>
        <v>5036.9635922604721</v>
      </c>
      <c r="AK37" s="121">
        <f>'Summary of Benefits'!AN41*'Summary of Benefits'!$D$101</f>
        <v>5036.9635922604721</v>
      </c>
      <c r="AL37" s="121">
        <f>'Summary of Benefits'!AO41*'Summary of Benefits'!$D$101</f>
        <v>5074.1484225749555</v>
      </c>
      <c r="AM37" s="121">
        <f>'Summary of Benefits'!AP41*'Summary of Benefits'!$D$101</f>
        <v>5074.1484225749555</v>
      </c>
      <c r="AN37" s="121">
        <f>'Summary of Benefits'!AQ41*'Summary of Benefits'!$D$101</f>
        <v>5111.3332528894407</v>
      </c>
      <c r="AO37" s="121">
        <f>'Summary of Benefits'!AR41*'Summary of Benefits'!$D$101</f>
        <v>5111.3332528894407</v>
      </c>
      <c r="AP37" s="121">
        <f>'Summary of Benefits'!AS41*'Summary of Benefits'!$D$101</f>
        <v>5111.3332528894407</v>
      </c>
    </row>
    <row r="38" spans="1:50">
      <c r="A38"/>
      <c r="B38" s="15"/>
      <c r="C38" s="135" t="s">
        <v>446</v>
      </c>
      <c r="D38" s="118">
        <f t="shared" si="3"/>
        <v>2724481.8375618169</v>
      </c>
      <c r="E38" s="128">
        <f>(E36+E37)/((1+'BCA Summary'!$D$3)^(E$13-'BCA Summary'!$C$37))</f>
        <v>0</v>
      </c>
      <c r="F38" s="128">
        <f>(F36+F37)/((1+'BCA Summary'!$D$3)^(F$13-'BCA Summary'!$C$37))</f>
        <v>0</v>
      </c>
      <c r="G38" s="128">
        <f>(G36+G37)/((1+'BCA Summary'!$D$3)^(G$13-'BCA Summary'!$C$37))</f>
        <v>0</v>
      </c>
      <c r="H38" s="128">
        <f>(H36+H37)/((1+'BCA Summary'!$D$3)^(H$13-'BCA Summary'!$C$37))</f>
        <v>0</v>
      </c>
      <c r="I38" s="128">
        <f>(I36+I37)/((1+'BCA Summary'!$D$3)^(I$13-'BCA Summary'!$C$37))</f>
        <v>0</v>
      </c>
      <c r="J38" s="128">
        <f>(J36+J37)/((1+'BCA Summary'!$D$3)^(J$13-'BCA Summary'!$C$37))</f>
        <v>0</v>
      </c>
      <c r="K38" s="128">
        <f>(K36+K37)/((1+'BCA Summary'!$D$3)^(K$13-'BCA Summary'!$C$37))</f>
        <v>0</v>
      </c>
      <c r="L38" s="128">
        <f>(L36+L37)/((1+'BCA Summary'!$D$3)^(L$13-'BCA Summary'!$C$37))</f>
        <v>0</v>
      </c>
      <c r="M38" s="128">
        <f>(M36+M37)/((1+'BCA Summary'!$D$3)^(M$13-'BCA Summary'!$C$37))</f>
        <v>0</v>
      </c>
      <c r="N38" s="128">
        <f>(N36+N37)/((1+'BCA Summary'!$D$3)^(N$13-'BCA Summary'!$C$37))</f>
        <v>0</v>
      </c>
      <c r="O38" s="128">
        <f>(O36+O37)/((1+'BCA Summary'!$D$3)^(O$13-'BCA Summary'!$C$37))</f>
        <v>0</v>
      </c>
      <c r="P38" s="128">
        <f>(P36+P37)/((1+'BCA Summary'!$D$3)^(P$13-'BCA Summary'!$C$37))</f>
        <v>0</v>
      </c>
      <c r="Q38" s="128">
        <f>(Q36+Q37)/((1+'BCA Summary'!$D$3)^(Q$13-'BCA Summary'!$C$37))</f>
        <v>196068.55275180022</v>
      </c>
      <c r="R38" s="128">
        <f>(R36+R37)/((1+'BCA Summary'!$D$3)^(R$13-'BCA Summary'!$C$37))</f>
        <v>185245.14834465631</v>
      </c>
      <c r="S38" s="128">
        <f>(S36+S37)/((1+'BCA Summary'!$D$3)^(S$13-'BCA Summary'!$C$37))</f>
        <v>174981.43283059227</v>
      </c>
      <c r="T38" s="128">
        <f>(T36+T37)/((1+'BCA Summary'!$D$3)^(T$13-'BCA Summary'!$C$37))</f>
        <v>165283.99282696767</v>
      </c>
      <c r="U38" s="128">
        <f>(U36+U37)/((1+'BCA Summary'!$D$3)^(U$13-'BCA Summary'!$C$37))</f>
        <v>156091.36019851777</v>
      </c>
      <c r="V38" s="128">
        <f>(V36+V37)/((1+'BCA Summary'!$D$3)^(V$13-'BCA Summary'!$C$37))</f>
        <v>147408.24427023888</v>
      </c>
      <c r="W38" s="128">
        <f>(W36+W37)/((1+'BCA Summary'!$D$3)^(W$13-'BCA Summary'!$C$37))</f>
        <v>139179.98098878394</v>
      </c>
      <c r="X38" s="128">
        <f>(X36+X37)/((1+'BCA Summary'!$D$3)^(X$13-'BCA Summary'!$C$37))</f>
        <v>131416.69387368366</v>
      </c>
      <c r="Y38" s="128">
        <f>(Y36+Y37)/((1+'BCA Summary'!$D$3)^(Y$13-'BCA Summary'!$C$37))</f>
        <v>124067.02556543247</v>
      </c>
      <c r="Z38" s="128">
        <f>(Z36+Z37)/((1+'BCA Summary'!$D$3)^(Z$13-'BCA Summary'!$C$37))</f>
        <v>117105.77039940329</v>
      </c>
      <c r="AA38" s="128">
        <f>(AA36+AA37)/((1+'BCA Summary'!$D$3)^(AA$13-'BCA Summary'!$C$37))</f>
        <v>110534.42206649559</v>
      </c>
      <c r="AB38" s="128">
        <f>(AB36+AB37)/((1+'BCA Summary'!$D$3)^(AB$13-'BCA Summary'!$C$37))</f>
        <v>104367.20621275091</v>
      </c>
      <c r="AC38" s="128">
        <f>(AC36+AC37)/((1+'BCA Summary'!$D$3)^(AC$13-'BCA Summary'!$C$37))</f>
        <v>98533.845077117046</v>
      </c>
      <c r="AD38" s="128">
        <f>(AD36+AD37)/((1+'BCA Summary'!$D$3)^(AD$13-'BCA Summary'!$C$37))</f>
        <v>93025.277023558956</v>
      </c>
      <c r="AE38" s="128">
        <f>(AE36+AE37)/((1+'BCA Summary'!$D$3)^(AE$13-'BCA Summary'!$C$37))</f>
        <v>87808.058724499468</v>
      </c>
      <c r="AF38" s="128">
        <f>(AF36+AF37)/((1+'BCA Summary'!$D$3)^(AF$13-'BCA Summary'!$C$37))</f>
        <v>82884.313531586566</v>
      </c>
      <c r="AG38" s="128">
        <f>(AG36+AG37)/((1+'BCA Summary'!$D$3)^(AG$13-'BCA Summary'!$C$37))</f>
        <v>78220.598276116783</v>
      </c>
      <c r="AH38" s="128">
        <f>(AH36+AH37)/((1+'BCA Summary'!$D$3)^(AH$13-'BCA Summary'!$C$37))</f>
        <v>73812.356344923857</v>
      </c>
      <c r="AI38" s="128">
        <f>(AI36+AI37)/((1+'BCA Summary'!$D$3)^(AI$13-'BCA Summary'!$C$37))</f>
        <v>69653.452186013848</v>
      </c>
      <c r="AJ38" s="128">
        <f>(AJ36+AJ37)/((1+'BCA Summary'!$D$3)^(AJ$13-'BCA Summary'!$C$37))</f>
        <v>65724.501024417696</v>
      </c>
      <c r="AK38" s="128">
        <f>(AK36+AK37)/((1+'BCA Summary'!$D$3)^(AK$13-'BCA Summary'!$C$37))</f>
        <v>62003.517176869893</v>
      </c>
      <c r="AL38" s="128">
        <f>(AL36+AL37)/((1+'BCA Summary'!$D$3)^(AL$13-'BCA Summary'!$C$37))</f>
        <v>58494.084206905056</v>
      </c>
      <c r="AM38" s="128">
        <f>(AM36+AM37)/((1+'BCA Summary'!$D$3)^(AM$13-'BCA Summary'!$C$37))</f>
        <v>55172.870963156944</v>
      </c>
      <c r="AN38" s="128">
        <f>(AN36+AN37)/((1+'BCA Summary'!$D$3)^(AN$13-'BCA Summary'!$C$37))</f>
        <v>52041.089896629674</v>
      </c>
      <c r="AO38" s="128">
        <f>(AO36+AO37)/((1+'BCA Summary'!$D$3)^(AO$13-'BCA Summary'!$C$37))</f>
        <v>49078.058114143074</v>
      </c>
      <c r="AP38" s="128">
        <f>(AP36+AP37)/((1+'BCA Summary'!$D$3)^(AP$13-'BCA Summary'!$C$37))</f>
        <v>46279.984686554722</v>
      </c>
    </row>
    <row r="39" spans="1:50">
      <c r="A39" s="15"/>
      <c r="B39" s="15"/>
      <c r="C39" s="15"/>
      <c r="D39" s="118">
        <f>D33+D35+D37</f>
        <v>119232412.32200837</v>
      </c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>
        <f>Q33+Q35+Q37</f>
        <v>5013301.7617441211</v>
      </c>
      <c r="R39" s="121"/>
      <c r="S39" s="121"/>
      <c r="T39" s="121"/>
      <c r="U39" s="121"/>
      <c r="V39" s="121">
        <f>V33+V35+V37</f>
        <v>4721856.8191030864</v>
      </c>
      <c r="W39" s="121"/>
      <c r="X39" s="121"/>
      <c r="Y39" s="121"/>
      <c r="Z39" s="121"/>
      <c r="AA39" s="121">
        <f>AA33+AA35+AA37</f>
        <v>4543100.3266514763</v>
      </c>
      <c r="AB39" s="121"/>
      <c r="AC39" s="121"/>
      <c r="AD39" s="121"/>
      <c r="AE39" s="121"/>
      <c r="AF39" s="121">
        <f>AF33+AF35+AF37</f>
        <v>4463083.6197226495</v>
      </c>
      <c r="AG39" s="121"/>
      <c r="AH39" s="121"/>
      <c r="AI39" s="121"/>
      <c r="AJ39" s="121"/>
      <c r="AK39" s="121">
        <f>AK33+AK35+AK37</f>
        <v>4449899.3450529203</v>
      </c>
      <c r="AL39" s="121"/>
      <c r="AM39" s="121"/>
      <c r="AN39" s="121"/>
      <c r="AO39" s="121"/>
      <c r="AP39" s="121">
        <f>AP33+AP35+AP37</f>
        <v>4488347.9372350601</v>
      </c>
    </row>
    <row r="40" spans="1:50" ht="15">
      <c r="A40" s="10" t="s">
        <v>183</v>
      </c>
      <c r="B40" s="10"/>
      <c r="D40" s="118"/>
    </row>
    <row r="41" spans="1:50">
      <c r="A41" s="14"/>
      <c r="B41" s="15" t="s">
        <v>5</v>
      </c>
      <c r="D41" s="118">
        <f>SUM(E41:AP41)</f>
        <v>362182892.01258212</v>
      </c>
      <c r="E41" s="121">
        <f>'Summary of Benefits'!H52*'Summary of Benefits'!$D$118*'Summary of Benefits'!$D$109</f>
        <v>0</v>
      </c>
      <c r="F41" s="121">
        <f>'Summary of Benefits'!I52*'Summary of Benefits'!$D$118*'Summary of Benefits'!$D$109</f>
        <v>0</v>
      </c>
      <c r="G41" s="121">
        <f>'Summary of Benefits'!J52*'Summary of Benefits'!$D$118*'Summary of Benefits'!$D$109</f>
        <v>0</v>
      </c>
      <c r="H41" s="121">
        <f>'Summary of Benefits'!K52*'Summary of Benefits'!$D$118*'Summary of Benefits'!$D$109</f>
        <v>0</v>
      </c>
      <c r="I41" s="121">
        <f>'Summary of Benefits'!L52*'Summary of Benefits'!$D$118*'Summary of Benefits'!$D$109</f>
        <v>0</v>
      </c>
      <c r="J41" s="121">
        <f>'Summary of Benefits'!M52*'Summary of Benefits'!$D$118*'Summary of Benefits'!$D$109</f>
        <v>0</v>
      </c>
      <c r="K41" s="121">
        <f>'Summary of Benefits'!N52*'Summary of Benefits'!$D$118*'Summary of Benefits'!$D$109</f>
        <v>0</v>
      </c>
      <c r="L41" s="121">
        <f>'Summary of Benefits'!O52*'Summary of Benefits'!$D$118*'Summary of Benefits'!$D$109</f>
        <v>0</v>
      </c>
      <c r="M41" s="121">
        <f>'Summary of Benefits'!P52*'Summary of Benefits'!$D$118*'Summary of Benefits'!$D$109</f>
        <v>0</v>
      </c>
      <c r="N41" s="121">
        <f>'Summary of Benefits'!Q52*'Summary of Benefits'!$D$118*'Summary of Benefits'!$D$109</f>
        <v>0</v>
      </c>
      <c r="O41" s="121">
        <f>'Summary of Benefits'!R52*'Summary of Benefits'!$D$118*'Summary of Benefits'!$D$109</f>
        <v>0</v>
      </c>
      <c r="P41" s="121">
        <f>'Summary of Benefits'!S52*'Summary of Benefits'!$D$118*'Summary of Benefits'!$D$109</f>
        <v>0</v>
      </c>
      <c r="Q41" s="121">
        <f>'Summary of Benefits'!T52*'Summary of Benefits'!$D$118*'Summary of Benefits'!$D$109</f>
        <v>9443681.3616486154</v>
      </c>
      <c r="R41" s="121">
        <f>'Summary of Benefits'!U52*'Summary of Benefits'!$D$118*'Summary of Benefits'!$D$109</f>
        <v>9808534.6901105344</v>
      </c>
      <c r="S41" s="121">
        <f>'Summary of Benefits'!V52*'Summary of Benefits'!$D$118*'Summary of Benefits'!$D$109</f>
        <v>10172645.651210763</v>
      </c>
      <c r="T41" s="121">
        <f>'Summary of Benefits'!W52*'Summary of Benefits'!$D$118*'Summary of Benefits'!$D$109</f>
        <v>10536014.244949296</v>
      </c>
      <c r="U41" s="121">
        <f>'Summary of Benefits'!X52*'Summary of Benefits'!$D$118*'Summary of Benefits'!$D$109</f>
        <v>10898640.47132613</v>
      </c>
      <c r="V41" s="121">
        <f>'Summary of Benefits'!Y52*'Summary of Benefits'!$D$118*'Summary of Benefits'!$D$109</f>
        <v>11260524.330341276</v>
      </c>
      <c r="W41" s="121">
        <f>'Summary of Benefits'!Z52*'Summary of Benefits'!$D$118*'Summary of Benefits'!$D$109</f>
        <v>11621665.821994722</v>
      </c>
      <c r="X41" s="121">
        <f>'Summary of Benefits'!AA52*'Summary of Benefits'!$D$118*'Summary of Benefits'!$D$109</f>
        <v>11982064.946286479</v>
      </c>
      <c r="Y41" s="121">
        <f>'Summary of Benefits'!AB52*'Summary of Benefits'!$D$118*'Summary of Benefits'!$D$109</f>
        <v>12341721.70321654</v>
      </c>
      <c r="Z41" s="121">
        <f>'Summary of Benefits'!AC52*'Summary of Benefits'!$D$118*'Summary of Benefits'!$D$109</f>
        <v>12700636.092784896</v>
      </c>
      <c r="AA41" s="121">
        <f>'Summary of Benefits'!AD52*'Summary of Benefits'!$D$118*'Summary of Benefits'!$D$109</f>
        <v>13058808.114991568</v>
      </c>
      <c r="AB41" s="121">
        <f>'Summary of Benefits'!AE52*'Summary of Benefits'!$D$118*'Summary of Benefits'!$D$109</f>
        <v>13416237.769836543</v>
      </c>
      <c r="AC41" s="121">
        <f>'Summary of Benefits'!AF52*'Summary of Benefits'!$D$118*'Summary of Benefits'!$D$109</f>
        <v>13772925.057319818</v>
      </c>
      <c r="AD41" s="121">
        <f>'Summary of Benefits'!AG52*'Summary of Benefits'!$D$118*'Summary of Benefits'!$D$109</f>
        <v>14128869.977441404</v>
      </c>
      <c r="AE41" s="121">
        <f>'Summary of Benefits'!AH52*'Summary of Benefits'!$D$118*'Summary of Benefits'!$D$109</f>
        <v>14484072.530201292</v>
      </c>
      <c r="AF41" s="121">
        <f>'Summary of Benefits'!AI52*'Summary of Benefits'!$D$118*'Summary of Benefits'!$D$109</f>
        <v>14838532.715599487</v>
      </c>
      <c r="AG41" s="121">
        <f>'Summary of Benefits'!AJ52*'Summary of Benefits'!$D$118*'Summary of Benefits'!$D$109</f>
        <v>15192250.533635991</v>
      </c>
      <c r="AH41" s="121">
        <f>'Summary of Benefits'!AK52*'Summary of Benefits'!$D$118*'Summary of Benefits'!$D$109</f>
        <v>15545225.984310793</v>
      </c>
      <c r="AI41" s="121">
        <f>'Summary of Benefits'!AL52*'Summary of Benefits'!$D$118*'Summary of Benefits'!$D$109</f>
        <v>15897459.067623902</v>
      </c>
      <c r="AJ41" s="121">
        <f>'Summary of Benefits'!AM52*'Summary of Benefits'!$D$118*'Summary of Benefits'!$D$109</f>
        <v>16248949.783575321</v>
      </c>
      <c r="AK41" s="121">
        <f>'Summary of Benefits'!AN52*'Summary of Benefits'!$D$118*'Summary of Benefits'!$D$109</f>
        <v>16599698.132165041</v>
      </c>
      <c r="AL41" s="121">
        <f>'Summary of Benefits'!AO52*'Summary of Benefits'!$D$118*'Summary of Benefits'!$D$109</f>
        <v>16949704.113393061</v>
      </c>
      <c r="AM41" s="121">
        <f>'Summary of Benefits'!AP52*'Summary of Benefits'!$D$118*'Summary of Benefits'!$D$109</f>
        <v>17298967.727259394</v>
      </c>
      <c r="AN41" s="121">
        <f>'Summary of Benefits'!AQ52*'Summary of Benefits'!$D$118*'Summary of Benefits'!$D$109</f>
        <v>17647488.973764032</v>
      </c>
      <c r="AO41" s="121">
        <f>'Summary of Benefits'!AR52*'Summary of Benefits'!$D$118*'Summary of Benefits'!$D$109</f>
        <v>17995267.852906972</v>
      </c>
      <c r="AP41" s="121">
        <f>'Summary of Benefits'!AS52*'Summary of Benefits'!$D$118*'Summary of Benefits'!$D$109</f>
        <v>18342304.364688218</v>
      </c>
    </row>
    <row r="42" spans="1:50">
      <c r="A42"/>
      <c r="B42" s="15"/>
      <c r="C42" s="135" t="s">
        <v>446</v>
      </c>
      <c r="D42" s="118">
        <f t="shared" ref="D42:D51" si="4">SUM(E42:AP42)</f>
        <v>106564227.25159039</v>
      </c>
      <c r="E42" s="128">
        <f>(E41)/((1+'BCA Summary'!$D$3)^(E$13-'BCA Summary'!$C$37))</f>
        <v>0</v>
      </c>
      <c r="F42" s="128">
        <f>(F41)/((1+'BCA Summary'!$D$3)^(F$13-'BCA Summary'!$C$37))</f>
        <v>0</v>
      </c>
      <c r="G42" s="128">
        <f>(G41)/((1+'BCA Summary'!$D$3)^(G$13-'BCA Summary'!$C$37))</f>
        <v>0</v>
      </c>
      <c r="H42" s="128">
        <f>(H41)/((1+'BCA Summary'!$D$3)^(H$13-'BCA Summary'!$C$37))</f>
        <v>0</v>
      </c>
      <c r="I42" s="128">
        <f>(I41)/((1+'BCA Summary'!$D$3)^(I$13-'BCA Summary'!$C$37))</f>
        <v>0</v>
      </c>
      <c r="J42" s="128">
        <f>(J41)/((1+'BCA Summary'!$D$3)^(J$13-'BCA Summary'!$C$37))</f>
        <v>0</v>
      </c>
      <c r="K42" s="128">
        <f>(K41)/((1+'BCA Summary'!$D$3)^(K$13-'BCA Summary'!$C$37))</f>
        <v>0</v>
      </c>
      <c r="L42" s="128">
        <f>(L41)/((1+'BCA Summary'!$D$3)^(L$13-'BCA Summary'!$C$37))</f>
        <v>0</v>
      </c>
      <c r="M42" s="128">
        <f>(M41)/((1+'BCA Summary'!$D$3)^(M$13-'BCA Summary'!$C$37))</f>
        <v>0</v>
      </c>
      <c r="N42" s="128">
        <f>(N41)/((1+'BCA Summary'!$D$3)^(N$13-'BCA Summary'!$C$37))</f>
        <v>0</v>
      </c>
      <c r="O42" s="128">
        <f>(O41)/((1+'BCA Summary'!$D$3)^(O$13-'BCA Summary'!$C$37))</f>
        <v>0</v>
      </c>
      <c r="P42" s="128">
        <f>(P41)/((1+'BCA Summary'!$D$3)^(P$13-'BCA Summary'!$C$37))</f>
        <v>0</v>
      </c>
      <c r="Q42" s="128">
        <f>(Q41)/((1+'BCA Summary'!$D$3)^(Q$13-'BCA Summary'!$C$37))</f>
        <v>6292723.6395354895</v>
      </c>
      <c r="R42" s="128">
        <f>(R41)/((1+'BCA Summary'!$D$3)^(R$13-'BCA Summary'!$C$37))</f>
        <v>6108262.4465323929</v>
      </c>
      <c r="S42" s="128">
        <f>(S41)/((1+'BCA Summary'!$D$3)^(S$13-'BCA Summary'!$C$37))</f>
        <v>5920572.3865186078</v>
      </c>
      <c r="T42" s="128">
        <f>(T41)/((1+'BCA Summary'!$D$3)^(T$13-'BCA Summary'!$C$37))</f>
        <v>5730893.660175167</v>
      </c>
      <c r="U42" s="128">
        <f>(U41)/((1+'BCA Summary'!$D$3)^(U$13-'BCA Summary'!$C$37))</f>
        <v>5540316.1688294252</v>
      </c>
      <c r="V42" s="128">
        <f>(V41)/((1+'BCA Summary'!$D$3)^(V$13-'BCA Summary'!$C$37))</f>
        <v>5349793.9928922933</v>
      </c>
      <c r="W42" s="128">
        <f>(W41)/((1+'BCA Summary'!$D$3)^(W$13-'BCA Summary'!$C$37))</f>
        <v>5160158.6112649664</v>
      </c>
      <c r="X42" s="128">
        <f>(X41)/((1+'BCA Summary'!$D$3)^(X$13-'BCA Summary'!$C$37))</f>
        <v>4972130.9650003687</v>
      </c>
      <c r="Y42" s="128">
        <f>(Y41)/((1+'BCA Summary'!$D$3)^(Y$13-'BCA Summary'!$C$37))</f>
        <v>4786332.4603450783</v>
      </c>
      <c r="Z42" s="128">
        <f>(Z41)/((1+'BCA Summary'!$D$3)^(Z$13-'BCA Summary'!$C$37))</f>
        <v>4603294.9987559766</v>
      </c>
      <c r="AA42" s="128">
        <f>(AA41)/((1+'BCA Summary'!$D$3)^(AA$13-'BCA Summary'!$C$37))</f>
        <v>4423470.1145346174</v>
      </c>
      <c r="AB42" s="128">
        <f>(AB41)/((1+'BCA Summary'!$D$3)^(AB$13-'BCA Summary'!$C$37))</f>
        <v>4247237.2943075765</v>
      </c>
      <c r="AC42" s="128">
        <f>(AC41)/((1+'BCA Summary'!$D$3)^(AC$13-'BCA Summary'!$C$37))</f>
        <v>4074911.5466625146</v>
      </c>
      <c r="AD42" s="128">
        <f>(AD41)/((1+'BCA Summary'!$D$3)^(AD$13-'BCA Summary'!$C$37))</f>
        <v>3906750.28478922</v>
      </c>
      <c r="AE42" s="128">
        <f>(AE41)/((1+'BCA Summary'!$D$3)^(AE$13-'BCA Summary'!$C$37))</f>
        <v>3742959.5799383661</v>
      </c>
      <c r="AF42" s="128">
        <f>(AF41)/((1+'BCA Summary'!$D$3)^(AF$13-'BCA Summary'!$C$37))</f>
        <v>3583699.8388655945</v>
      </c>
      <c r="AG42" s="128">
        <f>(AG41)/((1+'BCA Summary'!$D$3)^(AG$13-'BCA Summary'!$C$37))</f>
        <v>3429090.9541450581</v>
      </c>
      <c r="AH42" s="128">
        <f>(AH41)/((1+'BCA Summary'!$D$3)^(AH$13-'BCA Summary'!$C$37))</f>
        <v>3279216.972287369</v>
      </c>
      <c r="AI42" s="128">
        <f>(AI41)/((1+'BCA Summary'!$D$3)^(AI$13-'BCA Summary'!$C$37))</f>
        <v>3134130.3209563959</v>
      </c>
      <c r="AJ42" s="128">
        <f>(AJ41)/((1+'BCA Summary'!$D$3)^(AJ$13-'BCA Summary'!$C$37))</f>
        <v>2993855.6332239257</v>
      </c>
      <c r="AK42" s="128">
        <f>(AK41)/((1+'BCA Summary'!$D$3)^(AK$13-'BCA Summary'!$C$37))</f>
        <v>2858393.20370922</v>
      </c>
      <c r="AL42" s="128">
        <f>(AL41)/((1+'BCA Summary'!$D$3)^(AL$13-'BCA Summary'!$C$37))</f>
        <v>2727722.1086016176</v>
      </c>
      <c r="AM42" s="128">
        <f>(AM41)/((1+'BCA Summary'!$D$3)^(AM$13-'BCA Summary'!$C$37))</f>
        <v>2601803.0189399961</v>
      </c>
      <c r="AN42" s="128">
        <f>(AN41)/((1+'BCA Summary'!$D$3)^(AN$13-'BCA Summary'!$C$37))</f>
        <v>2480580.7341058468</v>
      </c>
      <c r="AO42" s="128">
        <f>(AO41)/((1+'BCA Summary'!$D$3)^(AO$13-'BCA Summary'!$C$37))</f>
        <v>2363986.4602610539</v>
      </c>
      <c r="AP42" s="128">
        <f>(AP41)/((1+'BCA Summary'!$D$3)^(AP$13-'BCA Summary'!$C$37))</f>
        <v>2251939.8564122808</v>
      </c>
    </row>
    <row r="43" spans="1:50">
      <c r="A43" s="15"/>
      <c r="B43" s="15" t="s">
        <v>6</v>
      </c>
      <c r="D43" s="118">
        <f t="shared" si="4"/>
        <v>20543386.999099217</v>
      </c>
      <c r="E43" s="121">
        <f>'Summary of Benefits'!H47*'Summary of Benefits'!$D$113</f>
        <v>0</v>
      </c>
      <c r="F43" s="121">
        <f>'Summary of Benefits'!I47*'Summary of Benefits'!$D$113</f>
        <v>0</v>
      </c>
      <c r="G43" s="121">
        <f>'Summary of Benefits'!J47*'Summary of Benefits'!$D$113</f>
        <v>0</v>
      </c>
      <c r="H43" s="121">
        <f>'Summary of Benefits'!K47*'Summary of Benefits'!$D$113</f>
        <v>0</v>
      </c>
      <c r="I43" s="121">
        <f>'Summary of Benefits'!L47*'Summary of Benefits'!$D$113</f>
        <v>0</v>
      </c>
      <c r="J43" s="121">
        <f>'Summary of Benefits'!M47*'Summary of Benefits'!$D$113</f>
        <v>0</v>
      </c>
      <c r="K43" s="121">
        <f>'Summary of Benefits'!N47*'Summary of Benefits'!$D$113</f>
        <v>0</v>
      </c>
      <c r="L43" s="121">
        <f>'Summary of Benefits'!O47*'Summary of Benefits'!$D$113</f>
        <v>0</v>
      </c>
      <c r="M43" s="121">
        <f>'Summary of Benefits'!P47*'Summary of Benefits'!$D$113</f>
        <v>0</v>
      </c>
      <c r="N43" s="121">
        <f>'Summary of Benefits'!Q47*'Summary of Benefits'!$D$113</f>
        <v>0</v>
      </c>
      <c r="O43" s="121">
        <f>'Summary of Benefits'!R47*'Summary of Benefits'!$D$113</f>
        <v>0</v>
      </c>
      <c r="P43" s="121">
        <f>'Summary of Benefits'!S47*'Summary of Benefits'!$D$113</f>
        <v>0</v>
      </c>
      <c r="Q43" s="121">
        <f>'Summary of Benefits'!T47*'Summary of Benefits'!$D$113</f>
        <v>442742.52822280623</v>
      </c>
      <c r="R43" s="121">
        <f>'Summary of Benefits'!U47*'Summary of Benefits'!$D$113</f>
        <v>465650.08837826108</v>
      </c>
      <c r="S43" s="121">
        <f>'Summary of Benefits'!V47*'Summary of Benefits'!$D$113</f>
        <v>489168.08092401741</v>
      </c>
      <c r="T43" s="121">
        <f>'Summary of Benefits'!W47*'Summary of Benefits'!$D$113</f>
        <v>513296.50586007471</v>
      </c>
      <c r="U43" s="121">
        <f>'Summary of Benefits'!X47*'Summary of Benefits'!$D$113</f>
        <v>538035.36318643379</v>
      </c>
      <c r="V43" s="121">
        <f>'Summary of Benefits'!Y47*'Summary of Benefits'!$D$113</f>
        <v>563384.65290309384</v>
      </c>
      <c r="W43" s="121">
        <f>'Summary of Benefits'!Z47*'Summary of Benefits'!$D$113</f>
        <v>589344.37501005526</v>
      </c>
      <c r="X43" s="121">
        <f>'Summary of Benefits'!AA47*'Summary of Benefits'!$D$113</f>
        <v>615914.52950731805</v>
      </c>
      <c r="Y43" s="121">
        <f>'Summary of Benefits'!AB47*'Summary of Benefits'!$D$113</f>
        <v>643095.11639488197</v>
      </c>
      <c r="Z43" s="121">
        <f>'Summary of Benefits'!AC47*'Summary of Benefits'!$D$113</f>
        <v>670886.13567274739</v>
      </c>
      <c r="AA43" s="121">
        <f>'Summary of Benefits'!AD47*'Summary of Benefits'!$D$113</f>
        <v>699287.58734091395</v>
      </c>
      <c r="AB43" s="121">
        <f>'Summary of Benefits'!AE47*'Summary of Benefits'!$D$113</f>
        <v>728299.47139938222</v>
      </c>
      <c r="AC43" s="121">
        <f>'Summary of Benefits'!AF47*'Summary of Benefits'!$D$113</f>
        <v>757921.78784815141</v>
      </c>
      <c r="AD43" s="121">
        <f>'Summary of Benefits'!AG47*'Summary of Benefits'!$D$113</f>
        <v>788154.53668722243</v>
      </c>
      <c r="AE43" s="121">
        <f>'Summary of Benefits'!AH47*'Summary of Benefits'!$D$113</f>
        <v>818997.71791659389</v>
      </c>
      <c r="AF43" s="121">
        <f>'Summary of Benefits'!AI47*'Summary of Benefits'!$D$113</f>
        <v>850451.33153626753</v>
      </c>
      <c r="AG43" s="121">
        <f>'Summary of Benefits'!AJ47*'Summary of Benefits'!$D$113</f>
        <v>882515.37754624197</v>
      </c>
      <c r="AH43" s="121">
        <f>'Summary of Benefits'!AK47*'Summary of Benefits'!$D$113</f>
        <v>915189.85594651802</v>
      </c>
      <c r="AI43" s="121">
        <f>'Summary of Benefits'!AL47*'Summary of Benefits'!$D$113</f>
        <v>948474.76673709531</v>
      </c>
      <c r="AJ43" s="121">
        <f>'Summary of Benefits'!AM47*'Summary of Benefits'!$D$113</f>
        <v>982370.10991797363</v>
      </c>
      <c r="AK43" s="121">
        <f>'Summary of Benefits'!AN47*'Summary of Benefits'!$D$113</f>
        <v>1016875.8854891534</v>
      </c>
      <c r="AL43" s="121">
        <f>'Summary of Benefits'!AO47*'Summary of Benefits'!$D$113</f>
        <v>1051992.093450635</v>
      </c>
      <c r="AM43" s="121">
        <f>'Summary of Benefits'!AP47*'Summary of Benefits'!$D$113</f>
        <v>1087718.7338024173</v>
      </c>
      <c r="AN43" s="121">
        <f>'Summary of Benefits'!AQ47*'Summary of Benefits'!$D$113</f>
        <v>1124055.8065445013</v>
      </c>
      <c r="AO43" s="121">
        <f>'Summary of Benefits'!AR47*'Summary of Benefits'!$D$113</f>
        <v>1161003.3116768862</v>
      </c>
      <c r="AP43" s="121">
        <f>'Summary of Benefits'!AS47*'Summary of Benefits'!$D$113</f>
        <v>1198561.249199573</v>
      </c>
    </row>
    <row r="44" spans="1:50">
      <c r="A44"/>
      <c r="B44" s="15"/>
      <c r="C44" s="135" t="s">
        <v>446</v>
      </c>
      <c r="D44" s="118">
        <f t="shared" si="4"/>
        <v>5752444.062072549</v>
      </c>
      <c r="E44" s="128">
        <f>(E43)/((1+'BCA Summary'!$D$3)^(E$13-'BCA Summary'!$C$37))</f>
        <v>0</v>
      </c>
      <c r="F44" s="128">
        <f>(F43)/((1+'BCA Summary'!$D$3)^(F$13-'BCA Summary'!$C$37))</f>
        <v>0</v>
      </c>
      <c r="G44" s="128">
        <f>(G43)/((1+'BCA Summary'!$D$3)^(G$13-'BCA Summary'!$C$37))</f>
        <v>0</v>
      </c>
      <c r="H44" s="128">
        <f>(H43)/((1+'BCA Summary'!$D$3)^(H$13-'BCA Summary'!$C$37))</f>
        <v>0</v>
      </c>
      <c r="I44" s="128">
        <f>(I43)/((1+'BCA Summary'!$D$3)^(I$13-'BCA Summary'!$C$37))</f>
        <v>0</v>
      </c>
      <c r="J44" s="128">
        <f>(J43)/((1+'BCA Summary'!$D$3)^(J$13-'BCA Summary'!$C$37))</f>
        <v>0</v>
      </c>
      <c r="K44" s="128">
        <f>(K43)/((1+'BCA Summary'!$D$3)^(K$13-'BCA Summary'!$C$37))</f>
        <v>0</v>
      </c>
      <c r="L44" s="128">
        <f>(L43)/((1+'BCA Summary'!$D$3)^(L$13-'BCA Summary'!$C$37))</f>
        <v>0</v>
      </c>
      <c r="M44" s="128">
        <f>(M43)/((1+'BCA Summary'!$D$3)^(M$13-'BCA Summary'!$C$37))</f>
        <v>0</v>
      </c>
      <c r="N44" s="128">
        <f>(N43)/((1+'BCA Summary'!$D$3)^(N$13-'BCA Summary'!$C$37))</f>
        <v>0</v>
      </c>
      <c r="O44" s="128">
        <f>(O43)/((1+'BCA Summary'!$D$3)^(O$13-'BCA Summary'!$C$37))</f>
        <v>0</v>
      </c>
      <c r="P44" s="128">
        <f>(P43)/((1+'BCA Summary'!$D$3)^(P$13-'BCA Summary'!$C$37))</f>
        <v>0</v>
      </c>
      <c r="Q44" s="128">
        <f>(Q43)/((1+'BCA Summary'!$D$3)^(Q$13-'BCA Summary'!$C$37))</f>
        <v>295018.04083412979</v>
      </c>
      <c r="R44" s="128">
        <f>(R43)/((1+'BCA Summary'!$D$3)^(R$13-'BCA Summary'!$C$37))</f>
        <v>289983.47234609915</v>
      </c>
      <c r="S44" s="128">
        <f>(S43)/((1+'BCA Summary'!$D$3)^(S$13-'BCA Summary'!$C$37))</f>
        <v>284700.27676038566</v>
      </c>
      <c r="T44" s="128">
        <f>(T43)/((1+'BCA Summary'!$D$3)^(T$13-'BCA Summary'!$C$37))</f>
        <v>279199.28948783648</v>
      </c>
      <c r="U44" s="128">
        <f>(U43)/((1+'BCA Summary'!$D$3)^(U$13-'BCA Summary'!$C$37))</f>
        <v>273509.89601926942</v>
      </c>
      <c r="V44" s="128">
        <f>(V43)/((1+'BCA Summary'!$D$3)^(V$13-'BCA Summary'!$C$37))</f>
        <v>267659.99018958077</v>
      </c>
      <c r="W44" s="128">
        <f>(W43)/((1+'BCA Summary'!$D$3)^(W$13-'BCA Summary'!$C$37))</f>
        <v>261675.95061572126</v>
      </c>
      <c r="X44" s="128">
        <f>(X43)/((1+'BCA Summary'!$D$3)^(X$13-'BCA Summary'!$C$37))</f>
        <v>255582.63268353263</v>
      </c>
      <c r="Y44" s="128">
        <f>(Y43)/((1+'BCA Summary'!$D$3)^(Y$13-'BCA Summary'!$C$37))</f>
        <v>249403.37375197856</v>
      </c>
      <c r="Z44" s="128">
        <f>(Z43)/((1+'BCA Summary'!$D$3)^(Z$13-'BCA Summary'!$C$37))</f>
        <v>243160.00950783139</v>
      </c>
      <c r="AA44" s="128">
        <f>(AA43)/((1+'BCA Summary'!$D$3)^(AA$13-'BCA Summary'!$C$37))</f>
        <v>236872.8996420778</v>
      </c>
      <c r="AB44" s="128">
        <f>(AB43)/((1+'BCA Summary'!$D$3)^(AB$13-'BCA Summary'!$C$37))</f>
        <v>230560.96123359306</v>
      </c>
      <c r="AC44" s="128">
        <f>(AC43)/((1+'BCA Summary'!$D$3)^(AC$13-'BCA Summary'!$C$37))</f>
        <v>224241.70841822162</v>
      </c>
      <c r="AD44" s="128">
        <f>(AD43)/((1+'BCA Summary'!$D$3)^(AD$13-'BCA Summary'!$C$37))</f>
        <v>217931.29709431442</v>
      </c>
      <c r="AE44" s="128">
        <f>(AE43)/((1+'BCA Summary'!$D$3)^(AE$13-'BCA Summary'!$C$37))</f>
        <v>211644.57357084032</v>
      </c>
      <c r="AF44" s="128">
        <f>(AF43)/((1+'BCA Summary'!$D$3)^(AF$13-'BCA Summary'!$C$37))</f>
        <v>205395.12620311129</v>
      </c>
      <c r="AG44" s="128">
        <f>(AG43)/((1+'BCA Summary'!$D$3)^(AG$13-'BCA Summary'!$C$37))</f>
        <v>199195.33918543515</v>
      </c>
      <c r="AH44" s="128">
        <f>(AH43)/((1+'BCA Summary'!$D$3)^(AH$13-'BCA Summary'!$C$37))</f>
        <v>193056.44778107162</v>
      </c>
      <c r="AI44" s="128">
        <f>(AI43)/((1+'BCA Summary'!$D$3)^(AI$13-'BCA Summary'!$C$37))</f>
        <v>186988.59436894141</v>
      </c>
      <c r="AJ44" s="128">
        <f>(AJ43)/((1+'BCA Summary'!$D$3)^(AJ$13-'BCA Summary'!$C$37))</f>
        <v>181000.88477481873</v>
      </c>
      <c r="AK44" s="128">
        <f>(AK43)/((1+'BCA Summary'!$D$3)^(AK$13-'BCA Summary'!$C$37))</f>
        <v>175101.44443324822</v>
      </c>
      <c r="AL44" s="128">
        <f>(AL43)/((1+'BCA Summary'!$D$3)^(AL$13-'BCA Summary'!$C$37))</f>
        <v>169297.47399613805</v>
      </c>
      <c r="AM44" s="128">
        <f>(AM43)/((1+'BCA Summary'!$D$3)^(AM$13-'BCA Summary'!$C$37))</f>
        <v>163595.30406575708</v>
      </c>
      <c r="AN44" s="128">
        <f>(AN43)/((1+'BCA Summary'!$D$3)^(AN$13-'BCA Summary'!$C$37))</f>
        <v>158000.44878449242</v>
      </c>
      <c r="AO44" s="128">
        <f>(AO43)/((1+'BCA Summary'!$D$3)^(AO$13-'BCA Summary'!$C$37))</f>
        <v>152517.65806192424</v>
      </c>
      <c r="AP44" s="128">
        <f>(AP43)/((1+'BCA Summary'!$D$3)^(AP$13-'BCA Summary'!$C$37))</f>
        <v>147150.96826219792</v>
      </c>
    </row>
    <row r="45" spans="1:50" ht="15">
      <c r="A45" s="10" t="s">
        <v>149</v>
      </c>
      <c r="B45" s="10"/>
      <c r="D45" s="118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  <c r="AA45" s="121"/>
      <c r="AB45" s="121"/>
      <c r="AC45" s="121"/>
      <c r="AD45" s="121"/>
      <c r="AE45" s="121"/>
      <c r="AF45" s="121"/>
      <c r="AG45" s="121"/>
      <c r="AH45" s="121"/>
      <c r="AI45" s="121"/>
      <c r="AJ45" s="121"/>
      <c r="AK45" s="121"/>
      <c r="AL45" s="121"/>
      <c r="AM45" s="121"/>
      <c r="AN45" s="121"/>
      <c r="AO45" s="121"/>
      <c r="AP45" s="121"/>
    </row>
    <row r="46" spans="1:50">
      <c r="A46" s="15"/>
      <c r="B46" s="15" t="s">
        <v>7</v>
      </c>
      <c r="D46" s="118">
        <f t="shared" si="4"/>
        <v>131096.52516617419</v>
      </c>
      <c r="E46" s="121">
        <v>0</v>
      </c>
      <c r="F46" s="121">
        <v>0</v>
      </c>
      <c r="G46" s="121">
        <v>0</v>
      </c>
      <c r="H46" s="121">
        <f>'Summary of Benefits'!K60*'Summary of Benefits'!D127</f>
        <v>0</v>
      </c>
      <c r="I46" s="121">
        <f>'Summary of Benefits'!L60*'Summary of Benefits'!E127</f>
        <v>0</v>
      </c>
      <c r="J46" s="121">
        <f>'Summary of Benefits'!M60*'Summary of Benefits'!F127</f>
        <v>0</v>
      </c>
      <c r="K46" s="121">
        <f>'Summary of Benefits'!N60*'Summary of Benefits'!G127</f>
        <v>0</v>
      </c>
      <c r="L46" s="121">
        <f>'Summary of Benefits'!O60*'Summary of Benefits'!H127</f>
        <v>0</v>
      </c>
      <c r="M46" s="121">
        <f>'Summary of Benefits'!P60*'Summary of Benefits'!I127</f>
        <v>0</v>
      </c>
      <c r="N46" s="121">
        <f>'Summary of Benefits'!Q60*'Summary of Benefits'!J127</f>
        <v>0</v>
      </c>
      <c r="O46" s="121">
        <f>'Summary of Benefits'!R60*'Summary of Benefits'!K127</f>
        <v>0</v>
      </c>
      <c r="P46" s="121">
        <f>'Summary of Benefits'!S60*'Summary of Benefits'!L127</f>
        <v>0</v>
      </c>
      <c r="Q46" s="121">
        <f>'Summary of Benefits'!T60*'Summary of Benefits'!M127</f>
        <v>3204.8124788823588</v>
      </c>
      <c r="R46" s="121">
        <f>'Summary of Benefits'!U60*'Summary of Benefits'!N127</f>
        <v>3369.1670553549488</v>
      </c>
      <c r="S46" s="121">
        <f>'Summary of Benefits'!V60*'Summary of Benefits'!O127</f>
        <v>3535.7697698481393</v>
      </c>
      <c r="T46" s="121">
        <f>'Summary of Benefits'!W60*'Summary of Benefits'!P127</f>
        <v>3704.555940939581</v>
      </c>
      <c r="U46" s="121">
        <f>'Summary of Benefits'!X60*'Summary of Benefits'!Q127</f>
        <v>3875.4608872069352</v>
      </c>
      <c r="V46" s="121">
        <f>'Summary of Benefits'!Y60*'Summary of Benefits'!R127</f>
        <v>4048.4199272278483</v>
      </c>
      <c r="W46" s="121">
        <f>'Summary of Benefits'!Z60*'Summary of Benefits'!S127</f>
        <v>4223.3683795799752</v>
      </c>
      <c r="X46" s="121">
        <f>'Summary of Benefits'!AA60*'Summary of Benefits'!T127</f>
        <v>4400.2415628409708</v>
      </c>
      <c r="Y46" s="121">
        <f>'Summary of Benefits'!AB60*'Summary of Benefits'!U127</f>
        <v>4578.9747955884886</v>
      </c>
      <c r="Z46" s="121">
        <f>'Summary of Benefits'!AC60*'Summary of Benefits'!V127</f>
        <v>4759.5033964001786</v>
      </c>
      <c r="AA46" s="121">
        <f>'Summary of Benefits'!AD60*'Summary of Benefits'!W127</f>
        <v>4941.7626838536989</v>
      </c>
      <c r="AB46" s="121">
        <f>'Summary of Benefits'!AE60*'Summary of Benefits'!X127</f>
        <v>5167.0930022063967</v>
      </c>
      <c r="AC46" s="121">
        <f>'Summary of Benefits'!AF60*'Summary of Benefits'!Y127</f>
        <v>5397.1415009002658</v>
      </c>
      <c r="AD46" s="121">
        <f>'Summary of Benefits'!AG60*'Summary of Benefits'!Z127</f>
        <v>5631.8972876117086</v>
      </c>
      <c r="AE46" s="121">
        <f>'Summary of Benefits'!AH60*'Summary of Benefits'!AA127</f>
        <v>5871.3494700171068</v>
      </c>
      <c r="AF46" s="121">
        <f>'Summary of Benefits'!AI60*'Summary of Benefits'!AB127</f>
        <v>6115.4871557928645</v>
      </c>
      <c r="AG46" s="121">
        <f>'Summary of Benefits'!AJ60*'Summary of Benefits'!AC127</f>
        <v>6364.2994526153707</v>
      </c>
      <c r="AH46" s="121">
        <f>'Summary of Benefits'!AK60*'Summary of Benefits'!AD127</f>
        <v>6617.7754681610213</v>
      </c>
      <c r="AI46" s="121">
        <f>'Summary of Benefits'!AL60*'Summary of Benefits'!AE127</f>
        <v>6875.904310106207</v>
      </c>
      <c r="AJ46" s="121">
        <f>'Summary of Benefits'!AM60*'Summary of Benefits'!AF127</f>
        <v>7138.6750861273204</v>
      </c>
      <c r="AK46" s="121">
        <f>'Summary of Benefits'!AN60*'Summary of Benefits'!AG127</f>
        <v>7406.0769039007582</v>
      </c>
      <c r="AL46" s="121">
        <f>'Summary of Benefits'!AO60*'Summary of Benefits'!AH127</f>
        <v>7678.098871102914</v>
      </c>
      <c r="AM46" s="121">
        <f>'Summary of Benefits'!AP60*'Summary of Benefits'!AI127</f>
        <v>7954.7300954101775</v>
      </c>
      <c r="AN46" s="121">
        <f>'Summary of Benefits'!AQ60*'Summary of Benefits'!AJ127</f>
        <v>8235.9596844989483</v>
      </c>
      <c r="AO46" s="121">
        <f>'Summary of Benefits'!AR60*'Summary of Benefits'!AK127</f>
        <v>0</v>
      </c>
      <c r="AP46" s="121">
        <f>'Summary of Benefits'!AS60*'Summary of Benefits'!AL127</f>
        <v>0</v>
      </c>
    </row>
    <row r="47" spans="1:50">
      <c r="A47"/>
      <c r="B47" s="15"/>
      <c r="C47" s="135" t="s">
        <v>446</v>
      </c>
      <c r="D47" s="118">
        <f t="shared" si="4"/>
        <v>39228.446550865854</v>
      </c>
      <c r="E47" s="121">
        <v>0</v>
      </c>
      <c r="F47" s="121">
        <v>0</v>
      </c>
      <c r="G47" s="121">
        <v>0</v>
      </c>
      <c r="H47" s="128">
        <f>(H46)/((1+'BCA Summary'!$D$3)^(H$13-'BCA Summary'!$C$37))</f>
        <v>0</v>
      </c>
      <c r="I47" s="128">
        <f>(I46)/((1+'BCA Summary'!$D$3)^(I$13-'BCA Summary'!$C$37))</f>
        <v>0</v>
      </c>
      <c r="J47" s="128">
        <f>(J46)/((1+'BCA Summary'!$D$3)^(J$13-'BCA Summary'!$C$37))</f>
        <v>0</v>
      </c>
      <c r="K47" s="128">
        <f>(K46)/((1+'BCA Summary'!$D$3)^(K$13-'BCA Summary'!$C$37))</f>
        <v>0</v>
      </c>
      <c r="L47" s="128">
        <f>(L46)/((1+'BCA Summary'!$D$3)^(L$13-'BCA Summary'!$C$37))</f>
        <v>0</v>
      </c>
      <c r="M47" s="128">
        <f>(M46)/((1+'BCA Summary'!$D$3)^(M$13-'BCA Summary'!$C$37))</f>
        <v>0</v>
      </c>
      <c r="N47" s="128">
        <f>(N46)/((1+'BCA Summary'!$D$3)^(N$13-'BCA Summary'!$C$37))</f>
        <v>0</v>
      </c>
      <c r="O47" s="128">
        <f>(O46)/((1+'BCA Summary'!$D$3)^(O$13-'BCA Summary'!$C$37))</f>
        <v>0</v>
      </c>
      <c r="P47" s="128">
        <f>(P46)/((1+'BCA Summary'!$D$3)^(P$13-'BCA Summary'!$C$37))</f>
        <v>0</v>
      </c>
      <c r="Q47" s="128">
        <f>(Q46)/((1+'BCA Summary'!$D$3)^(Q$13-'BCA Summary'!$C$37))</f>
        <v>2135.501874093381</v>
      </c>
      <c r="R47" s="128">
        <f>(R46)/((1+'BCA Summary'!$D$3)^(R$13-'BCA Summary'!$C$37))</f>
        <v>2098.1479140883621</v>
      </c>
      <c r="S47" s="128">
        <f>(S46)/((1+'BCA Summary'!$D$3)^(S$13-'BCA Summary'!$C$37))</f>
        <v>2057.8501976974476</v>
      </c>
      <c r="T47" s="128">
        <f>(T46)/((1+'BCA Summary'!$D$3)^(T$13-'BCA Summary'!$C$37))</f>
        <v>2015.0329775676062</v>
      </c>
      <c r="U47" s="128">
        <f>(U46)/((1+'BCA Summary'!$D$3)^(U$13-'BCA Summary'!$C$37))</f>
        <v>1970.0877987074309</v>
      </c>
      <c r="V47" s="128">
        <f>(V46)/((1+'BCA Summary'!$D$3)^(V$13-'BCA Summary'!$C$37))</f>
        <v>1923.3751441779086</v>
      </c>
      <c r="W47" s="128">
        <f>(W46)/((1+'BCA Summary'!$D$3)^(W$13-'BCA Summary'!$C$37))</f>
        <v>1875.2260688126742</v>
      </c>
      <c r="X47" s="128">
        <f>(X46)/((1+'BCA Summary'!$D$3)^(X$13-'BCA Summary'!$C$37))</f>
        <v>1825.9438107004994</v>
      </c>
      <c r="Y47" s="128">
        <f>(Y46)/((1+'BCA Summary'!$D$3)^(Y$13-'BCA Summary'!$C$37))</f>
        <v>1775.8053719129969</v>
      </c>
      <c r="Z47" s="128">
        <f>(Z46)/((1+'BCA Summary'!$D$3)^(Z$13-'BCA Summary'!$C$37))</f>
        <v>1725.0630614995366</v>
      </c>
      <c r="AA47" s="128">
        <f>(AA46)/((1+'BCA Summary'!$D$3)^(AA$13-'BCA Summary'!$C$37))</f>
        <v>1673.9459951214187</v>
      </c>
      <c r="AB47" s="128">
        <f>(AB46)/((1+'BCA Summary'!$D$3)^(AB$13-'BCA Summary'!$C$37))</f>
        <v>1635.769317644859</v>
      </c>
      <c r="AC47" s="128">
        <f>(AC46)/((1+'BCA Summary'!$D$3)^(AC$13-'BCA Summary'!$C$37))</f>
        <v>1596.8194213981815</v>
      </c>
      <c r="AD47" s="128">
        <f>(AD46)/((1+'BCA Summary'!$D$3)^(AD$13-'BCA Summary'!$C$37))</f>
        <v>1557.2665306857821</v>
      </c>
      <c r="AE47" s="128">
        <f>(AE46)/((1+'BCA Summary'!$D$3)^(AE$13-'BCA Summary'!$C$37))</f>
        <v>1517.2682752135572</v>
      </c>
      <c r="AF47" s="128">
        <f>(AF46)/((1+'BCA Summary'!$D$3)^(AF$13-'BCA Summary'!$C$37))</f>
        <v>1476.9701799261813</v>
      </c>
      <c r="AG47" s="128">
        <f>(AG46)/((1+'BCA Summary'!$D$3)^(AG$13-'BCA Summary'!$C$37))</f>
        <v>1436.5061735991915</v>
      </c>
      <c r="AH47" s="128">
        <f>(AH46)/((1+'BCA Summary'!$D$3)^(AH$13-'BCA Summary'!$C$37))</f>
        <v>1395.9991096869694</v>
      </c>
      <c r="AI47" s="128">
        <f>(AI46)/((1+'BCA Summary'!$D$3)^(AI$13-'BCA Summary'!$C$37))</f>
        <v>1355.5612938287993</v>
      </c>
      <c r="AJ47" s="128">
        <f>(AJ46)/((1+'BCA Summary'!$D$3)^(AJ$13-'BCA Summary'!$C$37))</f>
        <v>1315.2950132174615</v>
      </c>
      <c r="AK47" s="128">
        <f>(AK46)/((1+'BCA Summary'!$D$3)^(AK$13-'BCA Summary'!$C$37))</f>
        <v>1275.2930637478219</v>
      </c>
      <c r="AL47" s="128">
        <f>(AL46)/((1+'BCA Summary'!$D$3)^(AL$13-'BCA Summary'!$C$37))</f>
        <v>1235.6392714954563</v>
      </c>
      <c r="AM47" s="128">
        <f>(AM46)/((1+'BCA Summary'!$D$3)^(AM$13-'BCA Summary'!$C$37))</f>
        <v>1196.4090056355014</v>
      </c>
      <c r="AN47" s="128">
        <f>(AN46)/((1+'BCA Summary'!$D$3)^(AN$13-'BCA Summary'!$C$37))</f>
        <v>1157.6696804068354</v>
      </c>
      <c r="AO47" s="128">
        <f>(AO46)/((1+'BCA Summary'!$D$3)^(AO$13-'BCA Summary'!$C$37))</f>
        <v>0</v>
      </c>
      <c r="AP47" s="128">
        <f>(AP46)/((1+'BCA Summary'!$D$3)^(AP$13-'BCA Summary'!$C$37))</f>
        <v>0</v>
      </c>
    </row>
    <row r="48" spans="1:50">
      <c r="A48" s="15"/>
      <c r="B48" s="15" t="s">
        <v>251</v>
      </c>
      <c r="D48" s="118">
        <f t="shared" si="4"/>
        <v>2878.579600572727</v>
      </c>
      <c r="E48" s="121">
        <v>0</v>
      </c>
      <c r="F48" s="121">
        <v>0</v>
      </c>
      <c r="G48" s="121">
        <v>0</v>
      </c>
      <c r="H48" s="121">
        <f>'Summary of Benefits'!K65*'Summary of Benefits'!D128</f>
        <v>0</v>
      </c>
      <c r="I48" s="121">
        <f>'Summary of Benefits'!L65*'Summary of Benefits'!E128</f>
        <v>0</v>
      </c>
      <c r="J48" s="121">
        <f>'Summary of Benefits'!M65*'Summary of Benefits'!F128</f>
        <v>0</v>
      </c>
      <c r="K48" s="121">
        <f>'Summary of Benefits'!N65*'Summary of Benefits'!G128</f>
        <v>0</v>
      </c>
      <c r="L48" s="121">
        <f>'Summary of Benefits'!O65*'Summary of Benefits'!H128</f>
        <v>0</v>
      </c>
      <c r="M48" s="121">
        <f>'Summary of Benefits'!P65*'Summary of Benefits'!I128</f>
        <v>0</v>
      </c>
      <c r="N48" s="121">
        <f>'Summary of Benefits'!Q65*'Summary of Benefits'!J128</f>
        <v>0</v>
      </c>
      <c r="O48" s="121">
        <f>'Summary of Benefits'!R65*'Summary of Benefits'!K128</f>
        <v>0</v>
      </c>
      <c r="P48" s="121">
        <f>'Summary of Benefits'!S65*'Summary of Benefits'!L128</f>
        <v>0</v>
      </c>
      <c r="Q48" s="121">
        <f>'Summary of Benefits'!T65*'Summary of Benefits'!M128</f>
        <v>83.330457262267245</v>
      </c>
      <c r="R48" s="121">
        <f>'Summary of Benefits'!U65*'Summary of Benefits'!N128</f>
        <v>86.655937299778401</v>
      </c>
      <c r="S48" s="121">
        <f>'Summary of Benefits'!V65*'Summary of Benefits'!O128</f>
        <v>89.917805907237891</v>
      </c>
      <c r="T48" s="121">
        <f>'Summary of Benefits'!W65*'Summary of Benefits'!P128</f>
        <v>93.116034899706889</v>
      </c>
      <c r="U48" s="121">
        <f>'Summary of Benefits'!X65*'Summary of Benefits'!Q128</f>
        <v>96.250596092246411</v>
      </c>
      <c r="V48" s="121">
        <f>'Summary of Benefits'!Y65*'Summary of Benefits'!R128</f>
        <v>99.321461299917615</v>
      </c>
      <c r="W48" s="121">
        <f>'Summary of Benefits'!Z65*'Summary of Benefits'!S128</f>
        <v>102.32860233778163</v>
      </c>
      <c r="X48" s="121">
        <f>'Summary of Benefits'!AA65*'Summary of Benefits'!T128</f>
        <v>105.27199102089953</v>
      </c>
      <c r="Y48" s="121">
        <f>'Summary of Benefits'!AB65*'Summary of Benefits'!U128</f>
        <v>108.15159916433238</v>
      </c>
      <c r="Z48" s="121">
        <f>'Summary of Benefits'!AC65*'Summary of Benefits'!V128</f>
        <v>110.9673985831413</v>
      </c>
      <c r="AA48" s="121">
        <f>'Summary of Benefits'!AD65*'Summary of Benefits'!W128</f>
        <v>113.71936109238752</v>
      </c>
      <c r="AB48" s="121">
        <f>'Summary of Benefits'!AE65*'Summary of Benefits'!X128</f>
        <v>117.19426242677694</v>
      </c>
      <c r="AC48" s="121">
        <f>'Summary of Benefits'!AF65*'Summary of Benefits'!Y128</f>
        <v>120.65532149824995</v>
      </c>
      <c r="AD48" s="121">
        <f>'Summary of Benefits'!AG65*'Summary of Benefits'!Z128</f>
        <v>124.10255751128625</v>
      </c>
      <c r="AE48" s="121">
        <f>'Summary of Benefits'!AH65*'Summary of Benefits'!AA128</f>
        <v>127.5359896703654</v>
      </c>
      <c r="AF48" s="121">
        <f>'Summary of Benefits'!AI65*'Summary of Benefits'!AB128</f>
        <v>130.95563717996711</v>
      </c>
      <c r="AG48" s="121">
        <f>'Summary of Benefits'!AJ65*'Summary of Benefits'!AC128</f>
        <v>134.36151924457104</v>
      </c>
      <c r="AH48" s="121">
        <f>'Summary of Benefits'!AK65*'Summary of Benefits'!AD128</f>
        <v>137.75365506865671</v>
      </c>
      <c r="AI48" s="121">
        <f>'Summary of Benefits'!AL65*'Summary of Benefits'!AE128</f>
        <v>141.13206385670384</v>
      </c>
      <c r="AJ48" s="121">
        <f>'Summary of Benefits'!AM65*'Summary of Benefits'!AF128</f>
        <v>144.49676481319213</v>
      </c>
      <c r="AK48" s="121">
        <f>'Summary of Benefits'!AN65*'Summary of Benefits'!AG128</f>
        <v>147.84777714260113</v>
      </c>
      <c r="AL48" s="121">
        <f>'Summary of Benefits'!AO65*'Summary of Benefits'!AH128</f>
        <v>151.1851200494105</v>
      </c>
      <c r="AM48" s="121">
        <f>'Summary of Benefits'!AP65*'Summary of Benefits'!AI128</f>
        <v>154.50881273809986</v>
      </c>
      <c r="AN48" s="121">
        <f>'Summary of Benefits'!AQ65*'Summary of Benefits'!AJ128</f>
        <v>157.81887441314893</v>
      </c>
      <c r="AO48" s="121">
        <f>'Summary of Benefits'!AR65*'Summary of Benefits'!AK128</f>
        <v>0</v>
      </c>
      <c r="AP48" s="121">
        <f>'Summary of Benefits'!AS65*'Summary of Benefits'!AL128</f>
        <v>0</v>
      </c>
    </row>
    <row r="49" spans="1:42">
      <c r="A49"/>
      <c r="B49" s="15"/>
      <c r="C49" s="135" t="s">
        <v>446</v>
      </c>
      <c r="D49" s="118">
        <f t="shared" si="4"/>
        <v>899.13480928684032</v>
      </c>
      <c r="E49" s="121">
        <v>0</v>
      </c>
      <c r="F49" s="121">
        <v>0</v>
      </c>
      <c r="G49" s="121">
        <v>0</v>
      </c>
      <c r="H49" s="128">
        <f>(H48)/((1+'BCA Summary'!$D$3)^(H$13-'BCA Summary'!$C$37))</f>
        <v>0</v>
      </c>
      <c r="I49" s="128">
        <f>(I48)/((1+'BCA Summary'!$D$3)^(I$13-'BCA Summary'!$C$37))</f>
        <v>0</v>
      </c>
      <c r="J49" s="128">
        <f>(J48)/((1+'BCA Summary'!$D$3)^(J$13-'BCA Summary'!$C$37))</f>
        <v>0</v>
      </c>
      <c r="K49" s="128">
        <f>(K48)/((1+'BCA Summary'!$D$3)^(K$13-'BCA Summary'!$C$37))</f>
        <v>0</v>
      </c>
      <c r="L49" s="128">
        <f>(L48)/((1+'BCA Summary'!$D$3)^(L$13-'BCA Summary'!$C$37))</f>
        <v>0</v>
      </c>
      <c r="M49" s="128">
        <f>(M48)/((1+'BCA Summary'!$D$3)^(M$13-'BCA Summary'!$C$37))</f>
        <v>0</v>
      </c>
      <c r="N49" s="128">
        <f>(N48)/((1+'BCA Summary'!$D$3)^(N$13-'BCA Summary'!$C$37))</f>
        <v>0</v>
      </c>
      <c r="O49" s="128">
        <f>(O48)/((1+'BCA Summary'!$D$3)^(O$13-'BCA Summary'!$C$37))</f>
        <v>0</v>
      </c>
      <c r="P49" s="128">
        <f>(P48)/((1+'BCA Summary'!$D$3)^(P$13-'BCA Summary'!$C$37))</f>
        <v>0</v>
      </c>
      <c r="Q49" s="128">
        <f>(Q48)/((1+'BCA Summary'!$D$3)^(Q$13-'BCA Summary'!$C$37))</f>
        <v>55.526602203786013</v>
      </c>
      <c r="R49" s="128">
        <f>(R48)/((1+'BCA Summary'!$D$3)^(R$13-'BCA Summary'!$C$37))</f>
        <v>53.964962586204308</v>
      </c>
      <c r="S49" s="128">
        <f>(S48)/((1+'BCA Summary'!$D$3)^(S$13-'BCA Summary'!$C$37))</f>
        <v>52.332981700524449</v>
      </c>
      <c r="T49" s="128">
        <f>(T48)/((1+'BCA Summary'!$D$3)^(T$13-'BCA Summary'!$C$37))</f>
        <v>50.648953357593712</v>
      </c>
      <c r="U49" s="128">
        <f>(U48)/((1+'BCA Summary'!$D$3)^(U$13-'BCA Summary'!$C$37))</f>
        <v>48.9289223910381</v>
      </c>
      <c r="V49" s="128">
        <f>(V48)/((1+'BCA Summary'!$D$3)^(V$13-'BCA Summary'!$C$37))</f>
        <v>47.186910790279327</v>
      </c>
      <c r="W49" s="128">
        <f>(W48)/((1+'BCA Summary'!$D$3)^(W$13-'BCA Summary'!$C$37))</f>
        <v>45.435123210364509</v>
      </c>
      <c r="X49" s="128">
        <f>(X48)/((1+'BCA Summary'!$D$3)^(X$13-'BCA Summary'!$C$37))</f>
        <v>43.684133632114666</v>
      </c>
      <c r="Y49" s="128">
        <f>(Y48)/((1+'BCA Summary'!$D$3)^(Y$13-'BCA Summary'!$C$37))</f>
        <v>41.943054799523004</v>
      </c>
      <c r="Z49" s="128">
        <f>(Z48)/((1+'BCA Summary'!$D$3)^(Z$13-'BCA Summary'!$C$37))</f>
        <v>40.219691926526785</v>
      </c>
      <c r="AA49" s="128">
        <f>(AA48)/((1+'BCA Summary'!$D$3)^(AA$13-'BCA Summary'!$C$37))</f>
        <v>38.520682041315965</v>
      </c>
      <c r="AB49" s="128">
        <f>(AB48)/((1+'BCA Summary'!$D$3)^(AB$13-'BCA Summary'!$C$37))</f>
        <v>37.100702193647876</v>
      </c>
      <c r="AC49" s="128">
        <f>(AC48)/((1+'BCA Summary'!$D$3)^(AC$13-'BCA Summary'!$C$37))</f>
        <v>35.697555943513763</v>
      </c>
      <c r="AD49" s="128">
        <f>(AD48)/((1+'BCA Summary'!$D$3)^(AD$13-'BCA Summary'!$C$37))</f>
        <v>34.315391299827596</v>
      </c>
      <c r="AE49" s="128">
        <f>(AE48)/((1+'BCA Summary'!$D$3)^(AE$13-'BCA Summary'!$C$37))</f>
        <v>32.957723273495688</v>
      </c>
      <c r="AF49" s="128">
        <f>(AF48)/((1+'BCA Summary'!$D$3)^(AF$13-'BCA Summary'!$C$37))</f>
        <v>31.62750016159055</v>
      </c>
      <c r="AG49" s="128">
        <f>(AG48)/((1+'BCA Summary'!$D$3)^(AG$13-'BCA Summary'!$C$37))</f>
        <v>30.327163787001901</v>
      </c>
      <c r="AH49" s="128">
        <f>(AH48)/((1+'BCA Summary'!$D$3)^(AH$13-'BCA Summary'!$C$37))</f>
        <v>29.058704206144515</v>
      </c>
      <c r="AI49" s="128">
        <f>(AI48)/((1+'BCA Summary'!$D$3)^(AI$13-'BCA Summary'!$C$37))</f>
        <v>27.82370935574685</v>
      </c>
      <c r="AJ49" s="128">
        <f>(AJ48)/((1+'BCA Summary'!$D$3)^(AJ$13-'BCA Summary'!$C$37))</f>
        <v>26.623410071455137</v>
      </c>
      <c r="AK49" s="128">
        <f>(AK48)/((1+'BCA Summary'!$D$3)^(AK$13-'BCA Summary'!$C$37))</f>
        <v>25.458720875715546</v>
      </c>
      <c r="AL49" s="128">
        <f>(AL48)/((1+'BCA Summary'!$D$3)^(AL$13-'BCA Summary'!$C$37))</f>
        <v>24.330276899908231</v>
      </c>
      <c r="AM49" s="128">
        <f>(AM48)/((1+'BCA Summary'!$D$3)^(AM$13-'BCA Summary'!$C$37))</f>
        <v>23.238467275787574</v>
      </c>
      <c r="AN49" s="128">
        <f>(AN48)/((1+'BCA Summary'!$D$3)^(AN$13-'BCA Summary'!$C$37))</f>
        <v>22.183465303734266</v>
      </c>
      <c r="AO49" s="128">
        <f>(AO48)/((1+'BCA Summary'!$D$3)^(AO$13-'BCA Summary'!$C$37))</f>
        <v>0</v>
      </c>
      <c r="AP49" s="128">
        <f>(AP48)/((1+'BCA Summary'!$D$3)^(AP$13-'BCA Summary'!$C$37))</f>
        <v>0</v>
      </c>
    </row>
    <row r="50" spans="1:42">
      <c r="A50" s="15"/>
      <c r="B50" s="15" t="s">
        <v>256</v>
      </c>
      <c r="D50" s="118">
        <f t="shared" si="4"/>
        <v>57325.861238992336</v>
      </c>
      <c r="E50" s="121">
        <v>0</v>
      </c>
      <c r="F50" s="121">
        <v>0</v>
      </c>
      <c r="G50" s="121">
        <v>0</v>
      </c>
      <c r="H50" s="121">
        <f>'Summary of Benefits'!K70*'Summary of Benefits'!D129</f>
        <v>0</v>
      </c>
      <c r="I50" s="121">
        <f>'Summary of Benefits'!L70*'Summary of Benefits'!E129</f>
        <v>0</v>
      </c>
      <c r="J50" s="121">
        <f>'Summary of Benefits'!M70*'Summary of Benefits'!F129</f>
        <v>0</v>
      </c>
      <c r="K50" s="121">
        <f>'Summary of Benefits'!N70*'Summary of Benefits'!G129</f>
        <v>0</v>
      </c>
      <c r="L50" s="121">
        <f>'Summary of Benefits'!O70*'Summary of Benefits'!H129</f>
        <v>0</v>
      </c>
      <c r="M50" s="121">
        <f>'Summary of Benefits'!P70*'Summary of Benefits'!I129</f>
        <v>0</v>
      </c>
      <c r="N50" s="121">
        <f>'Summary of Benefits'!Q70*'Summary of Benefits'!J129</f>
        <v>0</v>
      </c>
      <c r="O50" s="121">
        <f>'Summary of Benefits'!R70*'Summary of Benefits'!K129</f>
        <v>0</v>
      </c>
      <c r="P50" s="121">
        <f>'Summary of Benefits'!S70*'Summary of Benefits'!L129</f>
        <v>0</v>
      </c>
      <c r="Q50" s="121">
        <f>'Summary of Benefits'!T70*'Summary of Benefits'!M129</f>
        <v>1953.4631031684917</v>
      </c>
      <c r="R50" s="121">
        <f>'Summary of Benefits'!U70*'Summary of Benefits'!N129</f>
        <v>1997.6391645839885</v>
      </c>
      <c r="S50" s="121">
        <f>'Summary of Benefits'!V70*'Summary of Benefits'!O129</f>
        <v>2036.6038039288849</v>
      </c>
      <c r="T50" s="121">
        <f>'Summary of Benefits'!W70*'Summary of Benefits'!P129</f>
        <v>2070.1526880424994</v>
      </c>
      <c r="U50" s="121">
        <f>'Summary of Benefits'!X70*'Summary of Benefits'!Q129</f>
        <v>2098.0814837641533</v>
      </c>
      <c r="V50" s="121">
        <f>'Summary of Benefits'!Y70*'Summary of Benefits'!R129</f>
        <v>2120.1858579331661</v>
      </c>
      <c r="W50" s="121">
        <f>'Summary of Benefits'!Z70*'Summary of Benefits'!S129</f>
        <v>2136.261477388859</v>
      </c>
      <c r="X50" s="121">
        <f>'Summary of Benefits'!AA70*'Summary of Benefits'!T129</f>
        <v>2146.1040089705507</v>
      </c>
      <c r="Y50" s="121">
        <f>'Summary of Benefits'!AB70*'Summary of Benefits'!U129</f>
        <v>2149.5091195175623</v>
      </c>
      <c r="Z50" s="121">
        <f>'Summary of Benefits'!AC70*'Summary of Benefits'!V129</f>
        <v>2146.2724758692143</v>
      </c>
      <c r="AA50" s="121">
        <f>'Summary of Benefits'!AD70*'Summary of Benefits'!W129</f>
        <v>2136.1897448648269</v>
      </c>
      <c r="AB50" s="121">
        <f>'Summary of Benefits'!AE70*'Summary of Benefits'!X129</f>
        <v>2208.5117867691461</v>
      </c>
      <c r="AC50" s="121">
        <f>'Summary of Benefits'!AF70*'Summary of Benefits'!Y129</f>
        <v>2280.868836542978</v>
      </c>
      <c r="AD50" s="121">
        <f>'Summary of Benefits'!AG70*'Summary of Benefits'!Z129</f>
        <v>2353.2318062242075</v>
      </c>
      <c r="AE50" s="121">
        <f>'Summary of Benefits'!AH70*'Summary of Benefits'!AA129</f>
        <v>2425.5716078507162</v>
      </c>
      <c r="AF50" s="121">
        <f>'Summary of Benefits'!AI70*'Summary of Benefits'!AB129</f>
        <v>2497.8591534603902</v>
      </c>
      <c r="AG50" s="121">
        <f>'Summary of Benefits'!AJ70*'Summary of Benefits'!AC129</f>
        <v>2570.0653550911111</v>
      </c>
      <c r="AH50" s="121">
        <f>'Summary of Benefits'!AK70*'Summary of Benefits'!AD129</f>
        <v>2642.1611247807646</v>
      </c>
      <c r="AI50" s="121">
        <f>'Summary of Benefits'!AL70*'Summary of Benefits'!AE129</f>
        <v>2714.1173745672322</v>
      </c>
      <c r="AJ50" s="121">
        <f>'Summary of Benefits'!AM70*'Summary of Benefits'!AF129</f>
        <v>2785.9050164884006</v>
      </c>
      <c r="AK50" s="121">
        <f>'Summary of Benefits'!AN70*'Summary of Benefits'!AG129</f>
        <v>2857.4949625821505</v>
      </c>
      <c r="AL50" s="121">
        <f>'Summary of Benefits'!AO70*'Summary of Benefits'!AH129</f>
        <v>2928.858124886367</v>
      </c>
      <c r="AM50" s="121">
        <f>'Summary of Benefits'!AP70*'Summary of Benefits'!AI129</f>
        <v>2999.9654154389341</v>
      </c>
      <c r="AN50" s="121">
        <f>'Summary of Benefits'!AQ70*'Summary of Benefits'!AJ129</f>
        <v>3070.7877462777342</v>
      </c>
      <c r="AO50" s="121">
        <f>'Summary of Benefits'!AR70*'Summary of Benefits'!AK129</f>
        <v>0</v>
      </c>
      <c r="AP50" s="121">
        <f>'Summary of Benefits'!AS70*'Summary of Benefits'!AL129</f>
        <v>0</v>
      </c>
    </row>
    <row r="51" spans="1:42">
      <c r="A51"/>
      <c r="B51" s="15"/>
      <c r="C51" s="135" t="s">
        <v>446</v>
      </c>
      <c r="D51" s="118">
        <f t="shared" si="4"/>
        <v>18391.919561953397</v>
      </c>
      <c r="E51" s="121">
        <v>0</v>
      </c>
      <c r="F51" s="121">
        <v>0</v>
      </c>
      <c r="G51" s="121">
        <v>0</v>
      </c>
      <c r="H51" s="128">
        <f>(H50)/((1+'BCA Summary'!$D$3)^(H$13-'BCA Summary'!$C$37))</f>
        <v>0</v>
      </c>
      <c r="I51" s="128">
        <f>(I50)/((1+'BCA Summary'!$D$3)^(I$13-'BCA Summary'!$C$37))</f>
        <v>0</v>
      </c>
      <c r="J51" s="128">
        <f>(J50)/((1+'BCA Summary'!$D$3)^(J$13-'BCA Summary'!$C$37))</f>
        <v>0</v>
      </c>
      <c r="K51" s="128">
        <f>(K50)/((1+'BCA Summary'!$D$3)^(K$13-'BCA Summary'!$C$37))</f>
        <v>0</v>
      </c>
      <c r="L51" s="128">
        <f>(L50)/((1+'BCA Summary'!$D$3)^(L$13-'BCA Summary'!$C$37))</f>
        <v>0</v>
      </c>
      <c r="M51" s="128">
        <f>(M50)/((1+'BCA Summary'!$D$3)^(M$13-'BCA Summary'!$C$37))</f>
        <v>0</v>
      </c>
      <c r="N51" s="128">
        <f>(N50)/((1+'BCA Summary'!$D$3)^(N$13-'BCA Summary'!$C$37))</f>
        <v>0</v>
      </c>
      <c r="O51" s="128">
        <f>(O50)/((1+'BCA Summary'!$D$3)^(O$13-'BCA Summary'!$C$37))</f>
        <v>0</v>
      </c>
      <c r="P51" s="128">
        <f>(P50)/((1+'BCA Summary'!$D$3)^(P$13-'BCA Summary'!$C$37))</f>
        <v>0</v>
      </c>
      <c r="Q51" s="128">
        <f>(Q50)/((1+'BCA Summary'!$D$3)^(Q$13-'BCA Summary'!$C$37))</f>
        <v>1301.6749483087981</v>
      </c>
      <c r="R51" s="128">
        <f>(R50)/((1+'BCA Summary'!$D$3)^(R$13-'BCA Summary'!$C$37))</f>
        <v>1244.029274123229</v>
      </c>
      <c r="S51" s="128">
        <f>(S50)/((1+'BCA Summary'!$D$3)^(S$13-'BCA Summary'!$C$37))</f>
        <v>1185.3219562784013</v>
      </c>
      <c r="T51" s="128">
        <f>(T50)/((1+'BCA Summary'!$D$3)^(T$13-'BCA Summary'!$C$37))</f>
        <v>1126.0258993275909</v>
      </c>
      <c r="U51" s="128">
        <f>(U50)/((1+'BCA Summary'!$D$3)^(U$13-'BCA Summary'!$C$37))</f>
        <v>1066.5582371124658</v>
      </c>
      <c r="V51" s="128">
        <f>(V50)/((1+'BCA Summary'!$D$3)^(V$13-'BCA Summary'!$C$37))</f>
        <v>1007.2850281068824</v>
      </c>
      <c r="W51" s="128">
        <f>(W50)/((1+'BCA Summary'!$D$3)^(W$13-'BCA Summary'!$C$37))</f>
        <v>948.52564402593498</v>
      </c>
      <c r="X51" s="128">
        <f>(X50)/((1+'BCA Summary'!$D$3)^(X$13-'BCA Summary'!$C$37))</f>
        <v>890.55686519384176</v>
      </c>
      <c r="Y51" s="128">
        <f>(Y50)/((1+'BCA Summary'!$D$3)^(Y$13-'BCA Summary'!$C$37))</f>
        <v>833.61669627288029</v>
      </c>
      <c r="Z51" s="128">
        <f>(Z50)/((1+'BCA Summary'!$D$3)^(Z$13-'BCA Summary'!$C$37))</f>
        <v>777.9079159467492</v>
      </c>
      <c r="AA51" s="128">
        <f>(AA50)/((1+'BCA Summary'!$D$3)^(AA$13-'BCA Summary'!$C$37))</f>
        <v>723.60137404400416</v>
      </c>
      <c r="AB51" s="128">
        <f>(AB50)/((1+'BCA Summary'!$D$3)^(AB$13-'BCA Summary'!$C$37))</f>
        <v>699.15827272924525</v>
      </c>
      <c r="AC51" s="128">
        <f>(AC50)/((1+'BCA Summary'!$D$3)^(AC$13-'BCA Summary'!$C$37))</f>
        <v>674.82678659549288</v>
      </c>
      <c r="AD51" s="128">
        <f>(AD50)/((1+'BCA Summary'!$D$3)^(AD$13-'BCA Summary'!$C$37))</f>
        <v>650.68820392714247</v>
      </c>
      <c r="AE51" s="128">
        <f>(AE50)/((1+'BCA Summary'!$D$3)^(AE$13-'BCA Summary'!$C$37))</f>
        <v>626.81379615441426</v>
      </c>
      <c r="AF51" s="128">
        <f>(AF50)/((1+'BCA Summary'!$D$3)^(AF$13-'BCA Summary'!$C$37))</f>
        <v>603.26567439881137</v>
      </c>
      <c r="AG51" s="128">
        <f>(AG50)/((1+'BCA Summary'!$D$3)^(AG$13-'BCA Summary'!$C$37))</f>
        <v>580.09758601547412</v>
      </c>
      <c r="AH51" s="128">
        <f>(AH50)/((1+'BCA Summary'!$D$3)^(AH$13-'BCA Summary'!$C$37))</f>
        <v>557.35565456838242</v>
      </c>
      <c r="AI51" s="128">
        <f>(AI50)/((1+'BCA Summary'!$D$3)^(AI$13-'BCA Summary'!$C$37))</f>
        <v>535.07906654023111</v>
      </c>
      <c r="AJ51" s="128">
        <f>(AJ50)/((1+'BCA Summary'!$D$3)^(AJ$13-'BCA Summary'!$C$37))</f>
        <v>513.30070794306914</v>
      </c>
      <c r="AK51" s="128">
        <f>(AK50)/((1+'BCA Summary'!$D$3)^(AK$13-'BCA Summary'!$C$37))</f>
        <v>492.0477538595365</v>
      </c>
      <c r="AL51" s="128">
        <f>(AL50)/((1+'BCA Summary'!$D$3)^(AL$13-'BCA Summary'!$C$37))</f>
        <v>471.34221380875351</v>
      </c>
      <c r="AM51" s="128">
        <f>(AM50)/((1+'BCA Summary'!$D$3)^(AM$13-'BCA Summary'!$C$37))</f>
        <v>451.20143569636934</v>
      </c>
      <c r="AN51" s="128">
        <f>(AN50)/((1+'BCA Summary'!$D$3)^(AN$13-'BCA Summary'!$C$37))</f>
        <v>431.6385709756961</v>
      </c>
      <c r="AO51" s="128">
        <f>(AO50)/((1+'BCA Summary'!$D$3)^(AO$13-'BCA Summary'!$C$37))</f>
        <v>0</v>
      </c>
      <c r="AP51" s="128">
        <f>(AP50)/((1+'BCA Summary'!$D$3)^(AP$13-'BCA Summary'!$C$37))</f>
        <v>0</v>
      </c>
    </row>
    <row r="52" spans="1:42">
      <c r="A52" s="15"/>
      <c r="B52" s="15"/>
      <c r="C52" s="15"/>
      <c r="D52" s="16"/>
    </row>
    <row r="53" spans="1:42" ht="14" thickBot="1">
      <c r="A53" s="120" t="s">
        <v>442</v>
      </c>
      <c r="B53" s="120"/>
      <c r="C53" s="120"/>
      <c r="D53" s="117">
        <f>SUM(E53:AP53)</f>
        <v>488250997.15130079</v>
      </c>
      <c r="E53" s="122">
        <f>E16+E20+E22+E26+E30+E32+E34+E36+E38+E41+E43+E46+E48+E50</f>
        <v>0</v>
      </c>
      <c r="F53" s="122">
        <f t="shared" ref="F53:V53" si="5">F16+F20+F22+F26+F30+F32+F34+F36+F38+F41+F43+F46+F48+F50</f>
        <v>0</v>
      </c>
      <c r="G53" s="122">
        <f t="shared" si="5"/>
        <v>0</v>
      </c>
      <c r="H53" s="122">
        <f t="shared" si="5"/>
        <v>0</v>
      </c>
      <c r="I53" s="122">
        <f t="shared" si="5"/>
        <v>0</v>
      </c>
      <c r="J53" s="122">
        <f t="shared" si="5"/>
        <v>0</v>
      </c>
      <c r="K53" s="122">
        <f t="shared" si="5"/>
        <v>0</v>
      </c>
      <c r="L53" s="122">
        <f t="shared" si="5"/>
        <v>0</v>
      </c>
      <c r="M53" s="122">
        <f t="shared" si="5"/>
        <v>0</v>
      </c>
      <c r="N53" s="122">
        <f t="shared" si="5"/>
        <v>0</v>
      </c>
      <c r="O53" s="122">
        <f t="shared" si="5"/>
        <v>0</v>
      </c>
      <c r="P53" s="122">
        <f t="shared" si="5"/>
        <v>0</v>
      </c>
      <c r="Q53" s="122">
        <f t="shared" si="5"/>
        <v>10377837.671246612</v>
      </c>
      <c r="R53" s="122">
        <f t="shared" si="5"/>
        <v>10753649.165538313</v>
      </c>
      <c r="S53" s="122">
        <f t="shared" si="5"/>
        <v>14157178.553715423</v>
      </c>
      <c r="T53" s="122">
        <f t="shared" si="5"/>
        <v>11746000.567703674</v>
      </c>
      <c r="U53" s="122">
        <f t="shared" si="5"/>
        <v>12123402.886135282</v>
      </c>
      <c r="V53" s="122">
        <f t="shared" si="5"/>
        <v>12501847.663654126</v>
      </c>
      <c r="W53" s="122">
        <f t="shared" ref="W53:AP53" si="6">W16+W20+W22+W26+W30+W32+W34+W36+W38+W41+W43+W46+W48+W50</f>
        <v>12880445.988289354</v>
      </c>
      <c r="X53" s="122">
        <f t="shared" si="6"/>
        <v>13260135.255363377</v>
      </c>
      <c r="Y53" s="122">
        <f t="shared" si="6"/>
        <v>13640103.909690166</v>
      </c>
      <c r="Z53" s="122">
        <f t="shared" si="6"/>
        <v>14020184.22333898</v>
      </c>
      <c r="AA53" s="122">
        <f t="shared" si="6"/>
        <v>10176511.35531199</v>
      </c>
      <c r="AB53" s="122">
        <f t="shared" si="6"/>
        <v>14782283.673855947</v>
      </c>
      <c r="AC53" s="122">
        <f t="shared" si="6"/>
        <v>18191436.94079531</v>
      </c>
      <c r="AD53" s="122">
        <f t="shared" si="6"/>
        <v>15546200.325692095</v>
      </c>
      <c r="AE53" s="122">
        <f t="shared" si="6"/>
        <v>15928516.959612232</v>
      </c>
      <c r="AF53" s="122">
        <f t="shared" si="6"/>
        <v>16311422.627247708</v>
      </c>
      <c r="AG53" s="122">
        <f t="shared" si="6"/>
        <v>16694300.41197747</v>
      </c>
      <c r="AH53" s="122">
        <f t="shared" si="6"/>
        <v>17077432.261069003</v>
      </c>
      <c r="AI53" s="122">
        <f t="shared" si="6"/>
        <v>17461042.456210684</v>
      </c>
      <c r="AJ53" s="122">
        <f t="shared" si="6"/>
        <v>17844881.598937619</v>
      </c>
      <c r="AK53" s="122">
        <f t="shared" si="6"/>
        <v>14004124.384900948</v>
      </c>
      <c r="AL53" s="122">
        <f t="shared" si="6"/>
        <v>18612754.092452526</v>
      </c>
      <c r="AM53" s="122">
        <f t="shared" si="6"/>
        <v>22024320.807066571</v>
      </c>
      <c r="AN53" s="122">
        <f t="shared" si="6"/>
        <v>19381221.678637512</v>
      </c>
      <c r="AO53" s="122">
        <f t="shared" si="6"/>
        <v>19753724.923528217</v>
      </c>
      <c r="AP53" s="122">
        <f t="shared" si="6"/>
        <v>109000036.76932974</v>
      </c>
    </row>
    <row r="54" spans="1:42" ht="14" thickTop="1">
      <c r="A54" s="11" t="s">
        <v>250</v>
      </c>
      <c r="B54" s="11"/>
      <c r="C54" s="11"/>
      <c r="D54" s="138">
        <f>SUM(E54:AP54)</f>
        <v>275158846.67761737</v>
      </c>
      <c r="E54" s="123">
        <f>E17+E21+E23+E27+E31+E33+E35+E37+E39+E42+E44+E47+E49+E51</f>
        <v>0</v>
      </c>
      <c r="F54" s="123">
        <f t="shared" ref="F54:V54" si="7">F17+F21+F23+F27+F31+F33+F35+F37+F39+F42+F44+F47+F49+F51</f>
        <v>0</v>
      </c>
      <c r="G54" s="123">
        <f t="shared" si="7"/>
        <v>0</v>
      </c>
      <c r="H54" s="123">
        <f t="shared" si="7"/>
        <v>0</v>
      </c>
      <c r="I54" s="123">
        <f t="shared" si="7"/>
        <v>0</v>
      </c>
      <c r="J54" s="123">
        <f t="shared" si="7"/>
        <v>0</v>
      </c>
      <c r="K54" s="123">
        <f t="shared" si="7"/>
        <v>0</v>
      </c>
      <c r="L54" s="123">
        <f t="shared" si="7"/>
        <v>0</v>
      </c>
      <c r="M54" s="123">
        <f t="shared" si="7"/>
        <v>0</v>
      </c>
      <c r="N54" s="123">
        <f t="shared" si="7"/>
        <v>0</v>
      </c>
      <c r="O54" s="123">
        <f t="shared" si="7"/>
        <v>0</v>
      </c>
      <c r="P54" s="123">
        <f t="shared" si="7"/>
        <v>0</v>
      </c>
      <c r="Q54" s="123">
        <f t="shared" si="7"/>
        <v>16677777.692264559</v>
      </c>
      <c r="R54" s="123">
        <f t="shared" si="7"/>
        <v>11410596.536003549</v>
      </c>
      <c r="S54" s="123">
        <f t="shared" si="7"/>
        <v>12919676.979007944</v>
      </c>
      <c r="T54" s="123">
        <f t="shared" si="7"/>
        <v>11038304.153673666</v>
      </c>
      <c r="U54" s="123">
        <f t="shared" si="7"/>
        <v>10783254.415506681</v>
      </c>
      <c r="V54" s="123">
        <f t="shared" si="7"/>
        <v>15255823.061210966</v>
      </c>
      <c r="W54" s="123">
        <f t="shared" ref="W54:AP54" si="8">W17+W21+W23+W27+W31+W33+W35+W37+W39+W42+W44+W47+W49+W51</f>
        <v>10289466.371344827</v>
      </c>
      <c r="X54" s="123">
        <f t="shared" si="8"/>
        <v>10052238.216446377</v>
      </c>
      <c r="Y54" s="123">
        <f t="shared" si="8"/>
        <v>9821120.9441100936</v>
      </c>
      <c r="Z54" s="123">
        <f t="shared" si="8"/>
        <v>9596060.3091358282</v>
      </c>
      <c r="AA54" s="123">
        <f t="shared" si="8"/>
        <v>12491010.372871883</v>
      </c>
      <c r="AB54" s="123">
        <f t="shared" si="8"/>
        <v>9170611.6886196937</v>
      </c>
      <c r="AC54" s="123">
        <f t="shared" si="8"/>
        <v>9865436.2795347143</v>
      </c>
      <c r="AD54" s="123">
        <f t="shared" si="8"/>
        <v>8777066.8683211002</v>
      </c>
      <c r="AE54" s="123">
        <f t="shared" si="8"/>
        <v>8591178.3645032123</v>
      </c>
      <c r="AF54" s="123">
        <f t="shared" si="8"/>
        <v>12876901.2127723</v>
      </c>
      <c r="AG54" s="123">
        <f t="shared" si="8"/>
        <v>8243014.2973137498</v>
      </c>
      <c r="AH54" s="123">
        <f t="shared" si="8"/>
        <v>8079696.7400226984</v>
      </c>
      <c r="AI54" s="123">
        <f t="shared" si="8"/>
        <v>7924763.679128252</v>
      </c>
      <c r="AJ54" s="123">
        <f t="shared" si="8"/>
        <v>7777339.1699375203</v>
      </c>
      <c r="AK54" s="123">
        <f t="shared" si="8"/>
        <v>11358404.484932277</v>
      </c>
      <c r="AL54" s="123">
        <f t="shared" si="8"/>
        <v>7502588.5516488291</v>
      </c>
      <c r="AM54" s="123">
        <f t="shared" si="8"/>
        <v>7830524.0744789457</v>
      </c>
      <c r="AN54" s="123">
        <f t="shared" si="8"/>
        <v>7255508.0063380236</v>
      </c>
      <c r="AO54" s="123">
        <f t="shared" si="8"/>
        <v>7139908.6395085743</v>
      </c>
      <c r="AP54" s="123">
        <f t="shared" si="8"/>
        <v>22430575.568981137</v>
      </c>
    </row>
    <row r="56" spans="1:42" ht="18" thickBot="1">
      <c r="A56" s="7" t="s">
        <v>9</v>
      </c>
      <c r="B56" s="7"/>
      <c r="C56" s="7"/>
      <c r="D56" s="17"/>
      <c r="E56" s="114">
        <f t="shared" ref="E56:AP56" si="9">E13</f>
        <v>2018</v>
      </c>
      <c r="F56" s="114">
        <f t="shared" si="9"/>
        <v>2019</v>
      </c>
      <c r="G56" s="114">
        <f t="shared" si="9"/>
        <v>2020</v>
      </c>
      <c r="H56" s="114">
        <f t="shared" si="9"/>
        <v>2021</v>
      </c>
      <c r="I56" s="114">
        <f t="shared" si="9"/>
        <v>2022</v>
      </c>
      <c r="J56" s="114">
        <f t="shared" si="9"/>
        <v>2023</v>
      </c>
      <c r="K56" s="114">
        <f t="shared" si="9"/>
        <v>2024</v>
      </c>
      <c r="L56" s="114">
        <f t="shared" si="9"/>
        <v>2025</v>
      </c>
      <c r="M56" s="114">
        <f t="shared" si="9"/>
        <v>2026</v>
      </c>
      <c r="N56" s="114">
        <f t="shared" si="9"/>
        <v>2027</v>
      </c>
      <c r="O56" s="114">
        <f t="shared" si="9"/>
        <v>2028</v>
      </c>
      <c r="P56" s="114">
        <f t="shared" si="9"/>
        <v>2029</v>
      </c>
      <c r="Q56" s="114">
        <f t="shared" si="9"/>
        <v>2030</v>
      </c>
      <c r="R56" s="114">
        <f t="shared" si="9"/>
        <v>2031</v>
      </c>
      <c r="S56" s="114">
        <f t="shared" si="9"/>
        <v>2032</v>
      </c>
      <c r="T56" s="114">
        <f t="shared" si="9"/>
        <v>2033</v>
      </c>
      <c r="U56" s="114">
        <f t="shared" si="9"/>
        <v>2034</v>
      </c>
      <c r="V56" s="114">
        <f t="shared" si="9"/>
        <v>2035</v>
      </c>
      <c r="W56" s="114">
        <f t="shared" si="9"/>
        <v>2036</v>
      </c>
      <c r="X56" s="114">
        <f t="shared" si="9"/>
        <v>2037</v>
      </c>
      <c r="Y56" s="114">
        <f t="shared" si="9"/>
        <v>2038</v>
      </c>
      <c r="Z56" s="114">
        <f t="shared" si="9"/>
        <v>2039</v>
      </c>
      <c r="AA56" s="114">
        <f t="shared" si="9"/>
        <v>2040</v>
      </c>
      <c r="AB56" s="114">
        <f t="shared" si="9"/>
        <v>2041</v>
      </c>
      <c r="AC56" s="114">
        <f t="shared" si="9"/>
        <v>2042</v>
      </c>
      <c r="AD56" s="114">
        <f t="shared" si="9"/>
        <v>2043</v>
      </c>
      <c r="AE56" s="114">
        <f t="shared" si="9"/>
        <v>2044</v>
      </c>
      <c r="AF56" s="114">
        <f t="shared" si="9"/>
        <v>2045</v>
      </c>
      <c r="AG56" s="114">
        <f t="shared" si="9"/>
        <v>2046</v>
      </c>
      <c r="AH56" s="114">
        <f t="shared" si="9"/>
        <v>2047</v>
      </c>
      <c r="AI56" s="114">
        <f t="shared" si="9"/>
        <v>2048</v>
      </c>
      <c r="AJ56" s="114">
        <f t="shared" si="9"/>
        <v>2049</v>
      </c>
      <c r="AK56" s="114">
        <f t="shared" si="9"/>
        <v>2050</v>
      </c>
      <c r="AL56" s="114">
        <f t="shared" si="9"/>
        <v>2051</v>
      </c>
      <c r="AM56" s="114">
        <f t="shared" si="9"/>
        <v>2052</v>
      </c>
      <c r="AN56" s="114">
        <f t="shared" si="9"/>
        <v>2053</v>
      </c>
      <c r="AO56" s="114">
        <f t="shared" si="9"/>
        <v>2054</v>
      </c>
      <c r="AP56" s="114">
        <f t="shared" si="9"/>
        <v>2055</v>
      </c>
    </row>
    <row r="57" spans="1:42" ht="14" thickTop="1">
      <c r="C57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1"/>
      <c r="AB57" s="121"/>
      <c r="AC57" s="121"/>
      <c r="AD57" s="121"/>
      <c r="AE57" s="121"/>
      <c r="AF57" s="121"/>
      <c r="AG57" s="121"/>
      <c r="AH57" s="121"/>
      <c r="AI57" s="121"/>
      <c r="AJ57" s="121"/>
      <c r="AK57" s="121"/>
      <c r="AL57" s="121"/>
      <c r="AM57" s="121"/>
      <c r="AN57" s="121"/>
      <c r="AO57" s="121"/>
      <c r="AP57" s="121"/>
    </row>
    <row r="58" spans="1:42" ht="15">
      <c r="A58" s="10" t="s">
        <v>10</v>
      </c>
      <c r="B58" s="10"/>
      <c r="D58" s="118">
        <f>SUM(E58:AO58)</f>
        <v>156085843.71599999</v>
      </c>
      <c r="E58" s="121">
        <f>'Timeline &amp; Costs'!H18</f>
        <v>2757323.8959999997</v>
      </c>
      <c r="F58" s="121">
        <f>'Timeline &amp; Costs'!I18</f>
        <v>1142627.2</v>
      </c>
      <c r="G58" s="121">
        <f>'Timeline &amp; Costs'!J18</f>
        <v>173499.62</v>
      </c>
      <c r="H58" s="121">
        <f>'Timeline &amp; Costs'!K18</f>
        <v>0</v>
      </c>
      <c r="I58" s="121">
        <f>'Timeline &amp; Costs'!L18</f>
        <v>2385000</v>
      </c>
      <c r="J58" s="121">
        <f>'Timeline &amp; Costs'!M18</f>
        <v>4080000</v>
      </c>
      <c r="K58" s="121">
        <f>'Timeline &amp; Costs'!N18</f>
        <v>0</v>
      </c>
      <c r="L58" s="121">
        <f>'Timeline &amp; Costs'!O18</f>
        <v>587760</v>
      </c>
      <c r="M58" s="121">
        <f>'Timeline &amp; Costs'!P18</f>
        <v>4706414</v>
      </c>
      <c r="N58" s="121">
        <f>'Timeline &amp; Costs'!Q18</f>
        <v>24937140</v>
      </c>
      <c r="O58" s="121">
        <f>'Timeline &amp; Costs'!R18</f>
        <v>64658039.5</v>
      </c>
      <c r="P58" s="121">
        <f>'Timeline &amp; Costs'!S18</f>
        <v>50658039.5</v>
      </c>
      <c r="Q58" s="121">
        <f>'Timeline &amp; Costs'!T18</f>
        <v>0</v>
      </c>
      <c r="R58" s="121">
        <f>'Timeline &amp; Costs'!U18</f>
        <v>0</v>
      </c>
      <c r="S58" s="121">
        <f>'Timeline &amp; Costs'!V18</f>
        <v>0</v>
      </c>
      <c r="T58" s="121">
        <f>'Timeline &amp; Costs'!W18</f>
        <v>0</v>
      </c>
      <c r="U58" s="121">
        <f>'Timeline &amp; Costs'!X18</f>
        <v>0</v>
      </c>
      <c r="V58" s="121">
        <f>'Timeline &amp; Costs'!Y18</f>
        <v>0</v>
      </c>
      <c r="W58" s="121">
        <f>'Timeline &amp; Costs'!Z18</f>
        <v>0</v>
      </c>
      <c r="X58" s="121">
        <f>'Timeline &amp; Costs'!AA18</f>
        <v>0</v>
      </c>
      <c r="Y58" s="121">
        <f>'Timeline &amp; Costs'!AB18</f>
        <v>0</v>
      </c>
      <c r="Z58" s="121">
        <f>'Timeline &amp; Costs'!AC18</f>
        <v>0</v>
      </c>
      <c r="AA58" s="121">
        <f>'Timeline &amp; Costs'!AD18</f>
        <v>0</v>
      </c>
      <c r="AB58" s="121">
        <f>'Timeline &amp; Costs'!AE18</f>
        <v>0</v>
      </c>
      <c r="AC58" s="121">
        <f>'Timeline &amp; Costs'!AF18</f>
        <v>0</v>
      </c>
      <c r="AD58" s="121">
        <f>'Timeline &amp; Costs'!AG18</f>
        <v>0</v>
      </c>
      <c r="AE58" s="121">
        <f>'Timeline &amp; Costs'!AH18</f>
        <v>0</v>
      </c>
      <c r="AF58" s="121">
        <f>'Timeline &amp; Costs'!AI18</f>
        <v>0</v>
      </c>
      <c r="AG58" s="121">
        <f>'Timeline &amp; Costs'!AJ18</f>
        <v>0</v>
      </c>
      <c r="AH58" s="121">
        <f>'Timeline &amp; Costs'!AK18</f>
        <v>0</v>
      </c>
      <c r="AI58" s="121">
        <f>'Timeline &amp; Costs'!AL18</f>
        <v>0</v>
      </c>
      <c r="AJ58" s="121">
        <f>'Timeline &amp; Costs'!AM18</f>
        <v>0</v>
      </c>
      <c r="AK58" s="121">
        <f>'Timeline &amp; Costs'!AN18</f>
        <v>0</v>
      </c>
      <c r="AL58" s="121">
        <f>'Timeline &amp; Costs'!AO18</f>
        <v>0</v>
      </c>
      <c r="AM58" s="121">
        <f>'Timeline &amp; Costs'!AP18</f>
        <v>0</v>
      </c>
      <c r="AN58" s="121">
        <f>'Timeline &amp; Costs'!AQ18</f>
        <v>0</v>
      </c>
      <c r="AO58" s="121">
        <f>'Timeline &amp; Costs'!AR18</f>
        <v>0</v>
      </c>
      <c r="AP58" s="121">
        <f>'Timeline &amp; Costs'!AS18</f>
        <v>0</v>
      </c>
    </row>
    <row r="59" spans="1:42">
      <c r="A59"/>
      <c r="B59" s="15"/>
      <c r="C59" s="135" t="s">
        <v>446</v>
      </c>
      <c r="D59" s="118">
        <f>SUM(E59:AO59)</f>
        <v>123526200.4331428</v>
      </c>
      <c r="E59" s="128">
        <f>(E58)/((1+'BCA Summary'!$D$3)^(E$13-'BCA Summary'!$C$37))</f>
        <v>4137999.6606057351</v>
      </c>
      <c r="F59" s="128">
        <f>(F58)/((1+'BCA Summary'!$D$3)^(F$13-'BCA Summary'!$C$37))</f>
        <v>1602593.7569048952</v>
      </c>
      <c r="G59" s="128">
        <f>(G58)/((1+'BCA Summary'!$D$3)^(G$13-'BCA Summary'!$C$37))</f>
        <v>227422.60963251619</v>
      </c>
      <c r="H59" s="128">
        <f>(H58)/((1+'BCA Summary'!$D$3)^(H$13-'BCA Summary'!$C$37))</f>
        <v>0</v>
      </c>
      <c r="I59" s="128">
        <f>(I58)/((1+'BCA Summary'!$D$3)^(I$13-'BCA Summary'!$C$37))</f>
        <v>2730586.5</v>
      </c>
      <c r="J59" s="128">
        <f>(J58)/((1+'BCA Summary'!$D$3)^(J$13-'BCA Summary'!$C$37))</f>
        <v>4365600</v>
      </c>
      <c r="K59" s="128">
        <f>(K58)/((1+'BCA Summary'!$D$3)^(K$13-'BCA Summary'!$C$37))</f>
        <v>0</v>
      </c>
      <c r="L59" s="128">
        <f>(L58)/((1+'BCA Summary'!$D$3)^(L$13-'BCA Summary'!$C$37))</f>
        <v>549308.41121495329</v>
      </c>
      <c r="M59" s="128">
        <f>(M58)/((1+'BCA Summary'!$D$3)^(M$13-'BCA Summary'!$C$37))</f>
        <v>4110764.2588872388</v>
      </c>
      <c r="N59" s="128">
        <f>(N58)/((1+'BCA Summary'!$D$3)^(N$13-'BCA Summary'!$C$37))</f>
        <v>20356134.43772994</v>
      </c>
      <c r="O59" s="128">
        <f>(O58)/((1+'BCA Summary'!$D$3)^(O$13-'BCA Summary'!$C$37))</f>
        <v>49327308.754929759</v>
      </c>
      <c r="P59" s="128">
        <f>(P58)/((1+'BCA Summary'!$D$3)^(P$13-'BCA Summary'!$C$37))</f>
        <v>36118482.043237761</v>
      </c>
      <c r="Q59" s="128">
        <f>(Q58)/((1+'BCA Summary'!$D$3)^(Q$13-'BCA Summary'!$C$37))</f>
        <v>0</v>
      </c>
      <c r="R59" s="128">
        <f>(R58)/((1+'BCA Summary'!$D$3)^(R$13-'BCA Summary'!$C$37))</f>
        <v>0</v>
      </c>
      <c r="S59" s="128">
        <f>(S58)/((1+'BCA Summary'!$D$3)^(S$13-'BCA Summary'!$C$37))</f>
        <v>0</v>
      </c>
      <c r="T59" s="128">
        <f>(T58)/((1+'BCA Summary'!$D$3)^(T$13-'BCA Summary'!$C$37))</f>
        <v>0</v>
      </c>
      <c r="U59" s="128">
        <f>(U58)/((1+'BCA Summary'!$D$3)^(U$13-'BCA Summary'!$C$37))</f>
        <v>0</v>
      </c>
      <c r="V59" s="128">
        <f>(V58)/((1+'BCA Summary'!$D$3)^(V$13-'BCA Summary'!$C$37))</f>
        <v>0</v>
      </c>
      <c r="W59" s="128">
        <f>(W58)/((1+'BCA Summary'!$D$3)^(W$13-'BCA Summary'!$C$37))</f>
        <v>0</v>
      </c>
      <c r="X59" s="128">
        <f>(X58)/((1+'BCA Summary'!$D$3)^(X$13-'BCA Summary'!$C$37))</f>
        <v>0</v>
      </c>
      <c r="Y59" s="128">
        <f>(Y58)/((1+'BCA Summary'!$D$3)^(Y$13-'BCA Summary'!$C$37))</f>
        <v>0</v>
      </c>
      <c r="Z59" s="128">
        <f>(Z58)/((1+'BCA Summary'!$D$3)^(Z$13-'BCA Summary'!$C$37))</f>
        <v>0</v>
      </c>
      <c r="AA59" s="128">
        <f>(AA58)/((1+'BCA Summary'!$D$3)^(AA$13-'BCA Summary'!$C$37))</f>
        <v>0</v>
      </c>
      <c r="AB59" s="128">
        <f>(AB58)/((1+'BCA Summary'!$D$3)^(AB$13-'BCA Summary'!$C$37))</f>
        <v>0</v>
      </c>
      <c r="AC59" s="128">
        <f>(AC58)/((1+'BCA Summary'!$D$3)^(AC$13-'BCA Summary'!$C$37))</f>
        <v>0</v>
      </c>
      <c r="AD59" s="128">
        <f>(AD58)/((1+'BCA Summary'!$D$3)^(AD$13-'BCA Summary'!$C$37))</f>
        <v>0</v>
      </c>
      <c r="AE59" s="128">
        <f>(AE58)/((1+'BCA Summary'!$D$3)^(AE$13-'BCA Summary'!$C$37))</f>
        <v>0</v>
      </c>
      <c r="AF59" s="128">
        <f>(AF58)/((1+'BCA Summary'!$D$3)^(AF$13-'BCA Summary'!$C$37))</f>
        <v>0</v>
      </c>
      <c r="AG59" s="128">
        <f>(AG58)/((1+'BCA Summary'!$D$3)^(AG$13-'BCA Summary'!$C$37))</f>
        <v>0</v>
      </c>
      <c r="AH59" s="128">
        <f>(AH58)/((1+'BCA Summary'!$D$3)^(AH$13-'BCA Summary'!$C$37))</f>
        <v>0</v>
      </c>
      <c r="AI59" s="128">
        <f>(AI58)/((1+'BCA Summary'!$D$3)^(AI$13-'BCA Summary'!$C$37))</f>
        <v>0</v>
      </c>
      <c r="AJ59" s="128">
        <f>(AJ58)/((1+'BCA Summary'!$D$3)^(AJ$13-'BCA Summary'!$C$37))</f>
        <v>0</v>
      </c>
      <c r="AK59" s="128">
        <f>(AK58)/((1+'BCA Summary'!$D$3)^(AK$13-'BCA Summary'!$C$37))</f>
        <v>0</v>
      </c>
      <c r="AL59" s="128">
        <f>(AL58)/((1+'BCA Summary'!$D$3)^(AL$13-'BCA Summary'!$C$37))</f>
        <v>0</v>
      </c>
      <c r="AM59" s="128">
        <f>(AM58)/((1+'BCA Summary'!$D$3)^(AM$13-'BCA Summary'!$C$37))</f>
        <v>0</v>
      </c>
      <c r="AN59" s="128">
        <f>(AN58)/((1+'BCA Summary'!$D$3)^(AN$13-'BCA Summary'!$C$37))</f>
        <v>0</v>
      </c>
      <c r="AO59" s="128">
        <f>(AO58)/((1+'BCA Summary'!$D$3)^(AO$13-'BCA Summary'!$C$37))</f>
        <v>0</v>
      </c>
      <c r="AP59" s="128">
        <f>(AP58)/((1+'BCA Summary'!$D$3)^(AP$13-'BCA Summary'!$C$37))</f>
        <v>0</v>
      </c>
    </row>
    <row r="61" spans="1:42" ht="14" thickBot="1">
      <c r="A61" s="120" t="s">
        <v>1</v>
      </c>
      <c r="B61" s="120"/>
      <c r="C61" s="120"/>
      <c r="D61" s="117">
        <f>SUM(E61:AO61)</f>
        <v>156085843.71599999</v>
      </c>
      <c r="E61" s="122">
        <f t="shared" ref="E61:AC61" si="10">E58</f>
        <v>2757323.8959999997</v>
      </c>
      <c r="F61" s="122">
        <f t="shared" si="10"/>
        <v>1142627.2</v>
      </c>
      <c r="G61" s="122">
        <f t="shared" si="10"/>
        <v>173499.62</v>
      </c>
      <c r="H61" s="122">
        <f t="shared" si="10"/>
        <v>0</v>
      </c>
      <c r="I61" s="122">
        <f t="shared" si="10"/>
        <v>2385000</v>
      </c>
      <c r="J61" s="122">
        <f t="shared" si="10"/>
        <v>4080000</v>
      </c>
      <c r="K61" s="122">
        <f t="shared" si="10"/>
        <v>0</v>
      </c>
      <c r="L61" s="122">
        <f t="shared" si="10"/>
        <v>587760</v>
      </c>
      <c r="M61" s="122">
        <f t="shared" si="10"/>
        <v>4706414</v>
      </c>
      <c r="N61" s="122">
        <f t="shared" si="10"/>
        <v>24937140</v>
      </c>
      <c r="O61" s="122">
        <f t="shared" si="10"/>
        <v>64658039.5</v>
      </c>
      <c r="P61" s="122">
        <f t="shared" si="10"/>
        <v>50658039.5</v>
      </c>
      <c r="Q61" s="122">
        <f t="shared" si="10"/>
        <v>0</v>
      </c>
      <c r="R61" s="122">
        <f t="shared" si="10"/>
        <v>0</v>
      </c>
      <c r="S61" s="122">
        <f t="shared" si="10"/>
        <v>0</v>
      </c>
      <c r="T61" s="122">
        <f t="shared" si="10"/>
        <v>0</v>
      </c>
      <c r="U61" s="122">
        <f t="shared" si="10"/>
        <v>0</v>
      </c>
      <c r="V61" s="122">
        <f t="shared" si="10"/>
        <v>0</v>
      </c>
      <c r="W61" s="122">
        <f t="shared" si="10"/>
        <v>0</v>
      </c>
      <c r="X61" s="122">
        <f t="shared" si="10"/>
        <v>0</v>
      </c>
      <c r="Y61" s="122">
        <f t="shared" si="10"/>
        <v>0</v>
      </c>
      <c r="Z61" s="122">
        <f t="shared" si="10"/>
        <v>0</v>
      </c>
      <c r="AA61" s="122">
        <f t="shared" si="10"/>
        <v>0</v>
      </c>
      <c r="AB61" s="122">
        <f t="shared" si="10"/>
        <v>0</v>
      </c>
      <c r="AC61" s="122">
        <f t="shared" si="10"/>
        <v>0</v>
      </c>
      <c r="AD61" s="122">
        <f t="shared" ref="AD61:AE61" si="11">AD58</f>
        <v>0</v>
      </c>
      <c r="AE61" s="122">
        <f t="shared" si="11"/>
        <v>0</v>
      </c>
      <c r="AF61" s="122">
        <f t="shared" ref="AF61:AO61" si="12">AF58</f>
        <v>0</v>
      </c>
      <c r="AG61" s="122">
        <f t="shared" si="12"/>
        <v>0</v>
      </c>
      <c r="AH61" s="122">
        <f t="shared" si="12"/>
        <v>0</v>
      </c>
      <c r="AI61" s="122">
        <f t="shared" si="12"/>
        <v>0</v>
      </c>
      <c r="AJ61" s="122">
        <f t="shared" si="12"/>
        <v>0</v>
      </c>
      <c r="AK61" s="122">
        <f t="shared" si="12"/>
        <v>0</v>
      </c>
      <c r="AL61" s="122">
        <f t="shared" si="12"/>
        <v>0</v>
      </c>
      <c r="AM61" s="122">
        <f t="shared" si="12"/>
        <v>0</v>
      </c>
      <c r="AN61" s="122">
        <f t="shared" si="12"/>
        <v>0</v>
      </c>
      <c r="AO61" s="122">
        <f t="shared" si="12"/>
        <v>0</v>
      </c>
      <c r="AP61" s="122">
        <f t="shared" ref="AP61" si="13">AP58</f>
        <v>0</v>
      </c>
    </row>
    <row r="62" spans="1:42" ht="14" thickTop="1">
      <c r="A62" s="11" t="s">
        <v>447</v>
      </c>
      <c r="B62" s="11"/>
      <c r="C62" s="11"/>
      <c r="D62" s="138">
        <f>SUM(E62:AO62)</f>
        <v>123526200.4331428</v>
      </c>
      <c r="E62" s="123">
        <f>(E61)/((1+'BCA Summary'!$D$3)^(E$13-'BCA Summary'!$C$37))</f>
        <v>4137999.6606057351</v>
      </c>
      <c r="F62" s="123">
        <f>(F61)/((1+'BCA Summary'!$D$3)^(F$13-'BCA Summary'!$C$37))</f>
        <v>1602593.7569048952</v>
      </c>
      <c r="G62" s="123">
        <f>(G61)/((1+'BCA Summary'!$D$3)^(G$13-'BCA Summary'!$C$37))</f>
        <v>227422.60963251619</v>
      </c>
      <c r="H62" s="123">
        <f>(H61)/((1+'BCA Summary'!$D$3)^(H$13-'BCA Summary'!$C$37))</f>
        <v>0</v>
      </c>
      <c r="I62" s="123">
        <f>(I61)/((1+'BCA Summary'!$D$3)^(I$13-'BCA Summary'!$C$37))</f>
        <v>2730586.5</v>
      </c>
      <c r="J62" s="123">
        <f>(J61)/((1+'BCA Summary'!$D$3)^(J$13-'BCA Summary'!$C$37))</f>
        <v>4365600</v>
      </c>
      <c r="K62" s="123">
        <f>(K61)/((1+'BCA Summary'!$D$3)^(K$13-'BCA Summary'!$C$37))</f>
        <v>0</v>
      </c>
      <c r="L62" s="123">
        <f>(L61)/((1+'BCA Summary'!$D$3)^(L$13-'BCA Summary'!$C$37))</f>
        <v>549308.41121495329</v>
      </c>
      <c r="M62" s="123">
        <f>(M61)/((1+'BCA Summary'!$D$3)^(M$13-'BCA Summary'!$C$37))</f>
        <v>4110764.2588872388</v>
      </c>
      <c r="N62" s="123">
        <f>(N61)/((1+'BCA Summary'!$D$3)^(N$13-'BCA Summary'!$C$37))</f>
        <v>20356134.43772994</v>
      </c>
      <c r="O62" s="123">
        <f>(O61)/((1+'BCA Summary'!$D$3)^(O$13-'BCA Summary'!$C$37))</f>
        <v>49327308.754929759</v>
      </c>
      <c r="P62" s="123">
        <f>(P61)/((1+'BCA Summary'!$D$3)^(P$13-'BCA Summary'!$C$37))</f>
        <v>36118482.043237761</v>
      </c>
      <c r="Q62" s="123">
        <f>(Q61)/((1+'BCA Summary'!$D$3)^(Q$13-'BCA Summary'!$C$37))</f>
        <v>0</v>
      </c>
      <c r="R62" s="123">
        <f>(R61)/((1+'BCA Summary'!$D$3)^(R$13-'BCA Summary'!$C$37))</f>
        <v>0</v>
      </c>
      <c r="S62" s="123">
        <f>(S61)/((1+'BCA Summary'!$D$3)^(S$13-'BCA Summary'!$C$37))</f>
        <v>0</v>
      </c>
      <c r="T62" s="123">
        <f>(T61)/((1+'BCA Summary'!$D$3)^(T$13-'BCA Summary'!$C$37))</f>
        <v>0</v>
      </c>
      <c r="U62" s="123">
        <f>(U61)/((1+'BCA Summary'!$D$3)^(U$13-'BCA Summary'!$C$37))</f>
        <v>0</v>
      </c>
      <c r="V62" s="123">
        <f>(V61)/((1+'BCA Summary'!$D$3)^(V$13-'BCA Summary'!$C$37))</f>
        <v>0</v>
      </c>
      <c r="W62" s="123">
        <f>(W61)/((1+'BCA Summary'!$D$3)^(W$13-'BCA Summary'!$C$37))</f>
        <v>0</v>
      </c>
      <c r="X62" s="123">
        <f>(X61)/((1+'BCA Summary'!$D$3)^(X$13-'BCA Summary'!$C$37))</f>
        <v>0</v>
      </c>
      <c r="Y62" s="123">
        <f>(Y61)/((1+'BCA Summary'!$D$3)^(Y$13-'BCA Summary'!$C$37))</f>
        <v>0</v>
      </c>
      <c r="Z62" s="123">
        <f>(Z61)/((1+'BCA Summary'!$D$3)^(Z$13-'BCA Summary'!$C$37))</f>
        <v>0</v>
      </c>
      <c r="AA62" s="123">
        <f>(AA61)/((1+'BCA Summary'!$D$3)^(AA$13-'BCA Summary'!$C$37))</f>
        <v>0</v>
      </c>
      <c r="AB62" s="123">
        <f>(AB61)/((1+'BCA Summary'!$D$3)^(AB$13-'BCA Summary'!$C$37))</f>
        <v>0</v>
      </c>
      <c r="AC62" s="123">
        <f>(AC61)/((1+'BCA Summary'!$D$3)^(AC$13-'BCA Summary'!$C$37))</f>
        <v>0</v>
      </c>
      <c r="AD62" s="123">
        <f>(AD61)/((1+'BCA Summary'!$D$3)^(AD$13-'BCA Summary'!$C$37))</f>
        <v>0</v>
      </c>
      <c r="AE62" s="123">
        <f>(AE61)/((1+'BCA Summary'!$D$3)^(AE$13-'BCA Summary'!$C$37))</f>
        <v>0</v>
      </c>
      <c r="AF62" s="123">
        <f>(AF61)/((1+'BCA Summary'!$D$3)^(AF$13-'BCA Summary'!$C$37))</f>
        <v>0</v>
      </c>
      <c r="AG62" s="123">
        <f>(AG61)/((1+'BCA Summary'!$D$3)^(AG$13-'BCA Summary'!$C$37))</f>
        <v>0</v>
      </c>
      <c r="AH62" s="123">
        <f>(AH61)/((1+'BCA Summary'!$D$3)^(AH$13-'BCA Summary'!$C$37))</f>
        <v>0</v>
      </c>
      <c r="AI62" s="123">
        <f>(AI61)/((1+'BCA Summary'!$D$3)^(AI$13-'BCA Summary'!$C$37))</f>
        <v>0</v>
      </c>
      <c r="AJ62" s="123">
        <f>(AJ61)/((1+'BCA Summary'!$D$3)^(AJ$13-'BCA Summary'!$C$37))</f>
        <v>0</v>
      </c>
      <c r="AK62" s="123">
        <f>(AK61)/((1+'BCA Summary'!$D$3)^(AK$13-'BCA Summary'!$C$37))</f>
        <v>0</v>
      </c>
      <c r="AL62" s="123">
        <f>(AL61)/((1+'BCA Summary'!$D$3)^(AL$13-'BCA Summary'!$C$37))</f>
        <v>0</v>
      </c>
      <c r="AM62" s="123">
        <f>(AM61)/((1+'BCA Summary'!$D$3)^(AM$13-'BCA Summary'!$C$37))</f>
        <v>0</v>
      </c>
      <c r="AN62" s="123">
        <f>(AN61)/((1+'BCA Summary'!$D$3)^(AN$13-'BCA Summary'!$C$37))</f>
        <v>0</v>
      </c>
      <c r="AO62" s="123">
        <f>(AO61)/((1+'BCA Summary'!$D$3)^(AO$13-'BCA Summary'!$C$37))</f>
        <v>0</v>
      </c>
      <c r="AP62" s="123">
        <f>(AP61)/((1+'BCA Summary'!$D$3)^(AP$13-'BCA Summary'!$C$37))</f>
        <v>0</v>
      </c>
    </row>
    <row r="64" spans="1:42" ht="14" thickBot="1">
      <c r="A64" s="115" t="s">
        <v>441</v>
      </c>
      <c r="B64" s="115"/>
      <c r="C64" s="115"/>
      <c r="D64" s="115"/>
    </row>
    <row r="65" spans="1:4" ht="14" thickTop="1">
      <c r="C65" s="1" t="s">
        <v>448</v>
      </c>
      <c r="D65" s="132">
        <f>D54-D62</f>
        <v>151632646.24447459</v>
      </c>
    </row>
    <row r="66" spans="1:4">
      <c r="A66" s="1" t="s">
        <v>449</v>
      </c>
      <c r="D66" s="18" t="str">
        <f>CONCATENATE(ROUND(D54/D62,2)," : 1")</f>
        <v>2.23 : 1</v>
      </c>
    </row>
  </sheetData>
  <mergeCells count="1">
    <mergeCell ref="A1:C1"/>
  </mergeCells>
  <pageMargins left="0.25" right="0.25" top="0.75" bottom="0.75" header="0.3" footer="0.3"/>
  <pageSetup paperSize="17" scale="2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S168"/>
  <sheetViews>
    <sheetView tabSelected="1" topLeftCell="A144" zoomScale="120" zoomScaleNormal="120" workbookViewId="0">
      <pane xSplit="3" topLeftCell="D1" activePane="topRight" state="frozen"/>
      <selection pane="topRight" activeCell="I177" sqref="I177"/>
    </sheetView>
  </sheetViews>
  <sheetFormatPr baseColWidth="10" defaultColWidth="9.19921875" defaultRowHeight="13"/>
  <cols>
    <col min="1" max="2" width="3.3984375" style="1" customWidth="1"/>
    <col min="3" max="3" width="70.19921875" style="1" customWidth="1"/>
    <col min="4" max="4" width="14" style="1" customWidth="1"/>
    <col min="5" max="5" width="14.19921875" style="22" customWidth="1"/>
    <col min="6" max="10" width="12.59765625" style="22" customWidth="1"/>
    <col min="11" max="11" width="11.59765625" style="22" bestFit="1" customWidth="1"/>
    <col min="12" max="12" width="12.59765625" style="22" customWidth="1"/>
    <col min="13" max="13" width="12.3984375" style="22" customWidth="1"/>
    <col min="14" max="22" width="11.59765625" style="22" bestFit="1" customWidth="1"/>
    <col min="23" max="23" width="11.59765625" style="22" customWidth="1"/>
    <col min="24" max="24" width="12.19921875" style="22" customWidth="1"/>
    <col min="25" max="25" width="12.19921875" style="22" bestFit="1" customWidth="1"/>
    <col min="26" max="26" width="12" style="22" customWidth="1"/>
    <col min="27" max="29" width="11" style="22" customWidth="1"/>
    <col min="30" max="30" width="12.19921875" style="22" bestFit="1" customWidth="1"/>
    <col min="31" max="31" width="11.19921875" style="1" customWidth="1"/>
    <col min="32" max="32" width="11.796875" style="1" bestFit="1" customWidth="1"/>
    <col min="33" max="34" width="13.59765625" style="1" customWidth="1"/>
    <col min="35" max="35" width="13.796875" style="1" bestFit="1" customWidth="1"/>
    <col min="36" max="39" width="13.796875" style="1" customWidth="1"/>
    <col min="40" max="40" width="12.19921875" style="1" bestFit="1" customWidth="1"/>
    <col min="41" max="44" width="11.59765625" style="1" customWidth="1"/>
    <col min="45" max="45" width="11.3984375" style="1" bestFit="1" customWidth="1"/>
    <col min="46" max="16384" width="9.19921875" style="1"/>
  </cols>
  <sheetData>
    <row r="1" spans="1:45" ht="20" thickBot="1">
      <c r="A1" s="19" t="s">
        <v>42</v>
      </c>
      <c r="B1" s="19"/>
      <c r="C1" s="19"/>
      <c r="D1" s="19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</row>
    <row r="2" spans="1:45" ht="19" thickTop="1" thickBot="1">
      <c r="A2" s="2" t="str">
        <f>'BCA Summary'!A2</f>
        <v>US 85/120th Avenue Grade-Separation and Interchange Project</v>
      </c>
      <c r="B2" s="17"/>
      <c r="C2" s="17"/>
      <c r="D2" s="17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</row>
    <row r="3" spans="1:45" ht="14" thickTop="1">
      <c r="A3" s="23"/>
      <c r="B3" s="23"/>
      <c r="C3" s="23"/>
      <c r="D3" s="22"/>
      <c r="AD3" s="1"/>
    </row>
    <row r="4" spans="1:45" s="18" customFormat="1" ht="17">
      <c r="A4" s="24"/>
      <c r="B4" s="24"/>
      <c r="C4" s="24"/>
      <c r="E4" s="150">
        <v>2015</v>
      </c>
      <c r="F4" s="150">
        <v>2016</v>
      </c>
      <c r="G4" s="150">
        <v>2017</v>
      </c>
      <c r="H4" s="150">
        <v>2018</v>
      </c>
      <c r="I4" s="150">
        <v>2019</v>
      </c>
      <c r="J4" s="150">
        <v>2020</v>
      </c>
      <c r="K4" s="150">
        <v>2021</v>
      </c>
      <c r="L4" s="150">
        <v>2022</v>
      </c>
      <c r="M4" s="150">
        <v>2023</v>
      </c>
      <c r="N4" s="150">
        <v>2024</v>
      </c>
      <c r="O4" s="150">
        <v>2025</v>
      </c>
      <c r="P4" s="150">
        <v>2026</v>
      </c>
      <c r="Q4" s="150">
        <v>2027</v>
      </c>
      <c r="R4" s="150">
        <v>2028</v>
      </c>
      <c r="S4" s="150">
        <v>2029</v>
      </c>
      <c r="T4" s="150">
        <v>2030</v>
      </c>
      <c r="U4" s="150">
        <v>2031</v>
      </c>
      <c r="V4" s="150">
        <v>2032</v>
      </c>
      <c r="W4" s="150">
        <v>2033</v>
      </c>
      <c r="X4" s="150">
        <v>2034</v>
      </c>
      <c r="Y4" s="150">
        <v>2035</v>
      </c>
      <c r="Z4" s="150">
        <v>2036</v>
      </c>
      <c r="AA4" s="150">
        <v>2037</v>
      </c>
      <c r="AB4" s="150">
        <v>2038</v>
      </c>
      <c r="AC4" s="150">
        <v>2039</v>
      </c>
      <c r="AD4" s="150">
        <v>2040</v>
      </c>
      <c r="AE4" s="150">
        <v>2041</v>
      </c>
      <c r="AF4" s="150">
        <v>2042</v>
      </c>
      <c r="AG4" s="150">
        <v>2043</v>
      </c>
      <c r="AH4" s="150">
        <v>2044</v>
      </c>
      <c r="AI4" s="150">
        <v>2045</v>
      </c>
      <c r="AJ4" s="150">
        <v>2046</v>
      </c>
      <c r="AK4" s="150">
        <v>2047</v>
      </c>
      <c r="AL4" s="150">
        <v>2048</v>
      </c>
      <c r="AM4" s="150">
        <v>2049</v>
      </c>
      <c r="AN4" s="150">
        <v>2050</v>
      </c>
      <c r="AO4" s="150">
        <v>2051</v>
      </c>
      <c r="AP4" s="150">
        <v>2052</v>
      </c>
      <c r="AQ4" s="150">
        <v>2053</v>
      </c>
      <c r="AR4" s="150">
        <v>2054</v>
      </c>
      <c r="AS4" s="150">
        <v>2055</v>
      </c>
    </row>
    <row r="5" spans="1:45" ht="18" thickBot="1">
      <c r="A5" s="17" t="s">
        <v>185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</row>
    <row r="6" spans="1:45" ht="16" thickTop="1">
      <c r="A6" s="98" t="s">
        <v>84</v>
      </c>
    </row>
    <row r="7" spans="1:45">
      <c r="A7" s="89" t="str">
        <f>"BASELINE (No "&amp;'BCA Summary'!E1&amp;") total annual roadway maintenance costs"</f>
        <v>BASELINE (No BUILD Grant) total annual roadway maintenance costs</v>
      </c>
      <c r="B7" s="38"/>
      <c r="C7" s="38"/>
      <c r="D7" s="99">
        <f>SUM(E7:AR7)</f>
        <v>13335400</v>
      </c>
      <c r="E7" s="99">
        <f>'Operations &amp; Maintenance'!D35</f>
        <v>30635</v>
      </c>
      <c r="F7" s="99">
        <f>'Operations &amp; Maintenance'!E35</f>
        <v>30635</v>
      </c>
      <c r="G7" s="99">
        <f>'Operations &amp; Maintenance'!F35</f>
        <v>30635</v>
      </c>
      <c r="H7" s="99">
        <f>'Operations &amp; Maintenance'!G35</f>
        <v>30635</v>
      </c>
      <c r="I7" s="99">
        <f>'Operations &amp; Maintenance'!H35</f>
        <v>30635</v>
      </c>
      <c r="J7" s="99">
        <f>'Operations &amp; Maintenance'!I35</f>
        <v>30635</v>
      </c>
      <c r="K7" s="99">
        <f>'Operations &amp; Maintenance'!J35</f>
        <v>30635</v>
      </c>
      <c r="L7" s="99">
        <f>'Operations &amp; Maintenance'!K35</f>
        <v>3058135</v>
      </c>
      <c r="M7" s="99">
        <f>'Operations &amp; Maintenance'!L35</f>
        <v>30635</v>
      </c>
      <c r="N7" s="99">
        <f>'Operations &amp; Maintenance'!M35</f>
        <v>30635</v>
      </c>
      <c r="O7" s="99">
        <f>'Operations &amp; Maintenance'!N35</f>
        <v>30635</v>
      </c>
      <c r="P7" s="99">
        <f>'Operations &amp; Maintenance'!O35</f>
        <v>30635</v>
      </c>
      <c r="Q7" s="99">
        <f>'Operations &amp; Maintenance'!P35</f>
        <v>30635</v>
      </c>
      <c r="R7" s="99">
        <f>'Operations &amp; Maintenance'!Q35</f>
        <v>30635</v>
      </c>
      <c r="S7" s="99">
        <f>'Operations &amp; Maintenance'!R35</f>
        <v>30635</v>
      </c>
      <c r="T7" s="99">
        <f>'Operations &amp; Maintenance'!S35</f>
        <v>30635</v>
      </c>
      <c r="U7" s="99">
        <f>'Operations &amp; Maintenance'!T35</f>
        <v>30635</v>
      </c>
      <c r="V7" s="99">
        <f>'Operations &amp; Maintenance'!U35</f>
        <v>3058135</v>
      </c>
      <c r="W7" s="99">
        <f>'Operations &amp; Maintenance'!V35</f>
        <v>30635</v>
      </c>
      <c r="X7" s="99">
        <f>'Operations &amp; Maintenance'!W35</f>
        <v>30635</v>
      </c>
      <c r="Y7" s="99">
        <f>'Operations &amp; Maintenance'!X35</f>
        <v>30635</v>
      </c>
      <c r="Z7" s="99">
        <f>'Operations &amp; Maintenance'!Y35</f>
        <v>30635</v>
      </c>
      <c r="AA7" s="99">
        <f>'Operations &amp; Maintenance'!Z35</f>
        <v>30635</v>
      </c>
      <c r="AB7" s="99">
        <f>'Operations &amp; Maintenance'!AA35</f>
        <v>30635</v>
      </c>
      <c r="AC7" s="99">
        <f>'Operations &amp; Maintenance'!AB35</f>
        <v>30635</v>
      </c>
      <c r="AD7" s="99">
        <f>'Operations &amp; Maintenance'!AC35</f>
        <v>30635</v>
      </c>
      <c r="AE7" s="99">
        <f>'Operations &amp; Maintenance'!AD35</f>
        <v>30635</v>
      </c>
      <c r="AF7" s="99">
        <f>'Operations &amp; Maintenance'!AE35</f>
        <v>3058135</v>
      </c>
      <c r="AG7" s="99">
        <f>'Operations &amp; Maintenance'!AF35</f>
        <v>30635</v>
      </c>
      <c r="AH7" s="99">
        <f>'Operations &amp; Maintenance'!AG35</f>
        <v>30635</v>
      </c>
      <c r="AI7" s="99">
        <f>'Operations &amp; Maintenance'!AH35</f>
        <v>30635</v>
      </c>
      <c r="AJ7" s="99">
        <f>'Operations &amp; Maintenance'!AI35</f>
        <v>30635</v>
      </c>
      <c r="AK7" s="99">
        <f>'Operations &amp; Maintenance'!AJ35</f>
        <v>30635</v>
      </c>
      <c r="AL7" s="99">
        <f>'Operations &amp; Maintenance'!AK35</f>
        <v>30635</v>
      </c>
      <c r="AM7" s="99">
        <f>'Operations &amp; Maintenance'!AL35</f>
        <v>30635</v>
      </c>
      <c r="AN7" s="99">
        <f>'Operations &amp; Maintenance'!AM35</f>
        <v>30635</v>
      </c>
      <c r="AO7" s="99">
        <f>'Operations &amp; Maintenance'!AN35</f>
        <v>30635</v>
      </c>
      <c r="AP7" s="99">
        <f>'Operations &amp; Maintenance'!AO35</f>
        <v>3058135</v>
      </c>
      <c r="AQ7" s="99">
        <f>'Operations &amp; Maintenance'!AP35</f>
        <v>30635</v>
      </c>
      <c r="AR7" s="99">
        <f>'Operations &amp; Maintenance'!AQ35</f>
        <v>30635</v>
      </c>
      <c r="AS7" s="99">
        <f>'Operations &amp; Maintenance'!AR35</f>
        <v>30635</v>
      </c>
    </row>
    <row r="8" spans="1:45">
      <c r="A8" s="26" t="str">
        <f>"PREFERRED (With "&amp;'BCA Summary'!E1&amp;") total annual roadway maintenance costs"</f>
        <v>PREFERRED (With BUILD Grant) total annual roadway maintenance costs</v>
      </c>
      <c r="D8" s="100">
        <f>SUM(E8:AR8)</f>
        <v>14783150</v>
      </c>
      <c r="E8" s="100">
        <f>'Operations &amp; Maintenance'!D36</f>
        <v>30635</v>
      </c>
      <c r="F8" s="100">
        <f>'Operations &amp; Maintenance'!E36</f>
        <v>30635</v>
      </c>
      <c r="G8" s="100">
        <f>'Operations &amp; Maintenance'!F36</f>
        <v>30635</v>
      </c>
      <c r="H8" s="100">
        <f>'Operations &amp; Maintenance'!G36</f>
        <v>30635</v>
      </c>
      <c r="I8" s="100">
        <f>'Operations &amp; Maintenance'!H36</f>
        <v>30635</v>
      </c>
      <c r="J8" s="100">
        <f>'Operations &amp; Maintenance'!I36</f>
        <v>30635</v>
      </c>
      <c r="K8" s="100">
        <f>'Operations &amp; Maintenance'!J36</f>
        <v>30635</v>
      </c>
      <c r="L8" s="100">
        <f>'Operations &amp; Maintenance'!K36</f>
        <v>3058135</v>
      </c>
      <c r="M8" s="100">
        <f>'Operations &amp; Maintenance'!L36</f>
        <v>30635</v>
      </c>
      <c r="N8" s="100">
        <f>'Operations &amp; Maintenance'!M36</f>
        <v>30635</v>
      </c>
      <c r="O8" s="100">
        <f>'Operations &amp; Maintenance'!N36</f>
        <v>30635</v>
      </c>
      <c r="P8" s="100">
        <f>'Operations &amp; Maintenance'!O36</f>
        <v>30635</v>
      </c>
      <c r="Q8" s="100">
        <f>'Operations &amp; Maintenance'!P36</f>
        <v>30635</v>
      </c>
      <c r="R8" s="100">
        <f>'Operations &amp; Maintenance'!Q36</f>
        <v>30635</v>
      </c>
      <c r="S8" s="100">
        <f>'Operations &amp; Maintenance'!R36</f>
        <v>30635</v>
      </c>
      <c r="T8" s="100">
        <f>'Operations &amp; Maintenance'!S36</f>
        <v>113885</v>
      </c>
      <c r="U8" s="100">
        <f>'Operations &amp; Maintenance'!T36</f>
        <v>113885</v>
      </c>
      <c r="V8" s="100">
        <f>'Operations &amp; Maintenance'!U36</f>
        <v>113885</v>
      </c>
      <c r="W8" s="100">
        <f>'Operations &amp; Maintenance'!V36</f>
        <v>113885</v>
      </c>
      <c r="X8" s="100">
        <f>'Operations &amp; Maintenance'!W36</f>
        <v>113885</v>
      </c>
      <c r="Y8" s="100">
        <f>'Operations &amp; Maintenance'!X36</f>
        <v>113885</v>
      </c>
      <c r="Z8" s="100">
        <f>'Operations &amp; Maintenance'!Y36</f>
        <v>113885</v>
      </c>
      <c r="AA8" s="100">
        <f>'Operations &amp; Maintenance'!Z36</f>
        <v>113885</v>
      </c>
      <c r="AB8" s="100">
        <f>'Operations &amp; Maintenance'!AA36</f>
        <v>113885</v>
      </c>
      <c r="AC8" s="100">
        <f>'Operations &amp; Maintenance'!AB36</f>
        <v>113885</v>
      </c>
      <c r="AD8" s="100">
        <f>'Operations &amp; Maintenance'!AC36</f>
        <v>4338385</v>
      </c>
      <c r="AE8" s="100">
        <f>'Operations &amp; Maintenance'!AD36</f>
        <v>113885</v>
      </c>
      <c r="AF8" s="100">
        <f>'Operations &amp; Maintenance'!AE36</f>
        <v>113885</v>
      </c>
      <c r="AG8" s="100">
        <f>'Operations &amp; Maintenance'!AF36</f>
        <v>113885</v>
      </c>
      <c r="AH8" s="100">
        <f>'Operations &amp; Maintenance'!AG36</f>
        <v>113885</v>
      </c>
      <c r="AI8" s="100">
        <f>'Operations &amp; Maintenance'!AH36</f>
        <v>113885</v>
      </c>
      <c r="AJ8" s="100">
        <f>'Operations &amp; Maintenance'!AI36</f>
        <v>113885</v>
      </c>
      <c r="AK8" s="100">
        <f>'Operations &amp; Maintenance'!AJ36</f>
        <v>113885</v>
      </c>
      <c r="AL8" s="100">
        <f>'Operations &amp; Maintenance'!AK36</f>
        <v>113885</v>
      </c>
      <c r="AM8" s="100">
        <f>'Operations &amp; Maintenance'!AL36</f>
        <v>113885</v>
      </c>
      <c r="AN8" s="100">
        <f>'Operations &amp; Maintenance'!AM36</f>
        <v>4338385</v>
      </c>
      <c r="AO8" s="100">
        <f>'Operations &amp; Maintenance'!AN36</f>
        <v>113885</v>
      </c>
      <c r="AP8" s="100">
        <f>'Operations &amp; Maintenance'!AO36</f>
        <v>113885</v>
      </c>
      <c r="AQ8" s="100">
        <f>'Operations &amp; Maintenance'!AP36</f>
        <v>113885</v>
      </c>
      <c r="AR8" s="100">
        <f>'Operations &amp; Maintenance'!AQ36</f>
        <v>113885</v>
      </c>
      <c r="AS8" s="100">
        <f>'Operations &amp; Maintenance'!AR36</f>
        <v>113885</v>
      </c>
    </row>
    <row r="9" spans="1:45">
      <c r="A9" s="39" t="s">
        <v>30</v>
      </c>
      <c r="B9" s="40"/>
      <c r="C9" s="40"/>
      <c r="D9" s="101">
        <f>SUM(E9:AR9)</f>
        <v>-1447750</v>
      </c>
      <c r="E9" s="101">
        <f>E7-E8</f>
        <v>0</v>
      </c>
      <c r="F9" s="101">
        <f t="shared" ref="F9:AF9" si="0">F7-F8</f>
        <v>0</v>
      </c>
      <c r="G9" s="101">
        <f t="shared" si="0"/>
        <v>0</v>
      </c>
      <c r="H9" s="101">
        <f t="shared" si="0"/>
        <v>0</v>
      </c>
      <c r="I9" s="101">
        <f t="shared" si="0"/>
        <v>0</v>
      </c>
      <c r="J9" s="101">
        <f t="shared" si="0"/>
        <v>0</v>
      </c>
      <c r="K9" s="101">
        <f t="shared" si="0"/>
        <v>0</v>
      </c>
      <c r="L9" s="101">
        <f t="shared" si="0"/>
        <v>0</v>
      </c>
      <c r="M9" s="101">
        <f t="shared" si="0"/>
        <v>0</v>
      </c>
      <c r="N9" s="101">
        <f t="shared" si="0"/>
        <v>0</v>
      </c>
      <c r="O9" s="101">
        <f t="shared" si="0"/>
        <v>0</v>
      </c>
      <c r="P9" s="101">
        <f t="shared" si="0"/>
        <v>0</v>
      </c>
      <c r="Q9" s="101">
        <f t="shared" si="0"/>
        <v>0</v>
      </c>
      <c r="R9" s="101">
        <f t="shared" si="0"/>
        <v>0</v>
      </c>
      <c r="S9" s="101">
        <f t="shared" si="0"/>
        <v>0</v>
      </c>
      <c r="T9" s="101">
        <f t="shared" si="0"/>
        <v>-83250</v>
      </c>
      <c r="U9" s="101">
        <f t="shared" si="0"/>
        <v>-83250</v>
      </c>
      <c r="V9" s="101">
        <f t="shared" si="0"/>
        <v>2944250</v>
      </c>
      <c r="W9" s="101">
        <f t="shared" si="0"/>
        <v>-83250</v>
      </c>
      <c r="X9" s="101">
        <f t="shared" si="0"/>
        <v>-83250</v>
      </c>
      <c r="Y9" s="101">
        <f t="shared" si="0"/>
        <v>-83250</v>
      </c>
      <c r="Z9" s="101">
        <f t="shared" si="0"/>
        <v>-83250</v>
      </c>
      <c r="AA9" s="101">
        <f t="shared" si="0"/>
        <v>-83250</v>
      </c>
      <c r="AB9" s="101">
        <f t="shared" si="0"/>
        <v>-83250</v>
      </c>
      <c r="AC9" s="101">
        <f t="shared" si="0"/>
        <v>-83250</v>
      </c>
      <c r="AD9" s="101">
        <f t="shared" si="0"/>
        <v>-4307750</v>
      </c>
      <c r="AE9" s="101">
        <f t="shared" si="0"/>
        <v>-83250</v>
      </c>
      <c r="AF9" s="101">
        <f t="shared" si="0"/>
        <v>2944250</v>
      </c>
      <c r="AG9" s="101">
        <f t="shared" ref="AG9:AH9" si="1">AG7-AG8</f>
        <v>-83250</v>
      </c>
      <c r="AH9" s="101">
        <f t="shared" si="1"/>
        <v>-83250</v>
      </c>
      <c r="AI9" s="101">
        <f t="shared" ref="AI9:AR9" si="2">AI7-AI8</f>
        <v>-83250</v>
      </c>
      <c r="AJ9" s="101">
        <f t="shared" si="2"/>
        <v>-83250</v>
      </c>
      <c r="AK9" s="101">
        <f t="shared" si="2"/>
        <v>-83250</v>
      </c>
      <c r="AL9" s="101">
        <f t="shared" si="2"/>
        <v>-83250</v>
      </c>
      <c r="AM9" s="101">
        <f t="shared" si="2"/>
        <v>-83250</v>
      </c>
      <c r="AN9" s="101">
        <f t="shared" si="2"/>
        <v>-4307750</v>
      </c>
      <c r="AO9" s="101">
        <f t="shared" si="2"/>
        <v>-83250</v>
      </c>
      <c r="AP9" s="101">
        <f t="shared" si="2"/>
        <v>2944250</v>
      </c>
      <c r="AQ9" s="101">
        <f t="shared" si="2"/>
        <v>-83250</v>
      </c>
      <c r="AR9" s="101">
        <f t="shared" si="2"/>
        <v>-83250</v>
      </c>
      <c r="AS9" s="101">
        <f t="shared" ref="AS9" si="3">AS7-AS8</f>
        <v>-83250</v>
      </c>
    </row>
    <row r="10" spans="1:45"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</row>
    <row r="11" spans="1:45" ht="18" thickBot="1">
      <c r="A11" s="17" t="s">
        <v>422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</row>
    <row r="12" spans="1:45" ht="16" thickTop="1">
      <c r="A12" s="98" t="s">
        <v>421</v>
      </c>
    </row>
    <row r="13" spans="1:45">
      <c r="A13" s="89" t="str">
        <f>"BASELINE (No "&amp;'BCA Summary'!$E$1&amp;") total annual avoided train idling, hrs"</f>
        <v>BASELINE (No BUILD Grant) total annual avoided train idling, hrs</v>
      </c>
      <c r="B13" s="38"/>
      <c r="C13" s="38"/>
      <c r="D13" s="81">
        <f>SUM(E13:AR13)</f>
        <v>21773.503325942344</v>
      </c>
      <c r="E13" s="81">
        <f>'Train Operating Costs'!E17</f>
        <v>544.33758314855868</v>
      </c>
      <c r="F13" s="81">
        <f>'Train Operating Costs'!F17</f>
        <v>544.33758314855868</v>
      </c>
      <c r="G13" s="81">
        <f>'Train Operating Costs'!G17</f>
        <v>544.33758314855868</v>
      </c>
      <c r="H13" s="81">
        <f>'Train Operating Costs'!H17</f>
        <v>544.33758314855868</v>
      </c>
      <c r="I13" s="81">
        <f>'Train Operating Costs'!I17</f>
        <v>544.33758314855868</v>
      </c>
      <c r="J13" s="81">
        <f>'Train Operating Costs'!J17</f>
        <v>544.33758314855868</v>
      </c>
      <c r="K13" s="81">
        <f>'Train Operating Costs'!K17</f>
        <v>544.33758314855868</v>
      </c>
      <c r="L13" s="81">
        <f>'Train Operating Costs'!L17</f>
        <v>544.33758314855868</v>
      </c>
      <c r="M13" s="81">
        <f>'Train Operating Costs'!M17</f>
        <v>544.33758314855868</v>
      </c>
      <c r="N13" s="81">
        <f>'Train Operating Costs'!N17</f>
        <v>544.33758314855868</v>
      </c>
      <c r="O13" s="81">
        <f>'Train Operating Costs'!O17</f>
        <v>544.33758314855868</v>
      </c>
      <c r="P13" s="81">
        <f>'Train Operating Costs'!P17</f>
        <v>544.33758314855868</v>
      </c>
      <c r="Q13" s="81">
        <f>'Train Operating Costs'!Q17</f>
        <v>544.33758314855868</v>
      </c>
      <c r="R13" s="81">
        <f>'Train Operating Costs'!R17</f>
        <v>544.33758314855868</v>
      </c>
      <c r="S13" s="81">
        <f>'Train Operating Costs'!S17</f>
        <v>544.33758314855868</v>
      </c>
      <c r="T13" s="81">
        <f>'Train Operating Costs'!T17</f>
        <v>544.33758314855868</v>
      </c>
      <c r="U13" s="81">
        <f>'Train Operating Costs'!U17</f>
        <v>544.33758314855868</v>
      </c>
      <c r="V13" s="81">
        <f>'Train Operating Costs'!V17</f>
        <v>544.33758314855868</v>
      </c>
      <c r="W13" s="81">
        <f>'Train Operating Costs'!W17</f>
        <v>544.33758314855868</v>
      </c>
      <c r="X13" s="81">
        <f>'Train Operating Costs'!X17</f>
        <v>544.33758314855868</v>
      </c>
      <c r="Y13" s="81">
        <f>'Train Operating Costs'!Y17</f>
        <v>544.33758314855868</v>
      </c>
      <c r="Z13" s="81">
        <f>'Train Operating Costs'!Z17</f>
        <v>544.33758314855868</v>
      </c>
      <c r="AA13" s="81">
        <f>'Train Operating Costs'!AA17</f>
        <v>544.33758314855868</v>
      </c>
      <c r="AB13" s="81">
        <f>'Train Operating Costs'!AB17</f>
        <v>544.33758314855868</v>
      </c>
      <c r="AC13" s="81">
        <f>'Train Operating Costs'!AC17</f>
        <v>544.33758314855868</v>
      </c>
      <c r="AD13" s="81">
        <f>'Train Operating Costs'!AD17</f>
        <v>544.33758314855868</v>
      </c>
      <c r="AE13" s="81">
        <f>'Train Operating Costs'!AE17</f>
        <v>544.33758314855868</v>
      </c>
      <c r="AF13" s="81">
        <f>'Train Operating Costs'!AF17</f>
        <v>544.33758314855868</v>
      </c>
      <c r="AG13" s="81">
        <f>'Train Operating Costs'!AG17</f>
        <v>544.33758314855868</v>
      </c>
      <c r="AH13" s="81">
        <f>'Train Operating Costs'!AH17</f>
        <v>544.33758314855868</v>
      </c>
      <c r="AI13" s="81">
        <f>'Train Operating Costs'!AI17</f>
        <v>544.33758314855868</v>
      </c>
      <c r="AJ13" s="81">
        <f>'Train Operating Costs'!AJ17</f>
        <v>544.33758314855868</v>
      </c>
      <c r="AK13" s="81">
        <f>'Train Operating Costs'!AK17</f>
        <v>544.33758314855868</v>
      </c>
      <c r="AL13" s="81">
        <f>'Train Operating Costs'!AL17</f>
        <v>544.33758314855868</v>
      </c>
      <c r="AM13" s="81">
        <f>'Train Operating Costs'!AM17</f>
        <v>544.33758314855868</v>
      </c>
      <c r="AN13" s="81">
        <f>'Train Operating Costs'!AN17</f>
        <v>544.33758314855868</v>
      </c>
      <c r="AO13" s="81">
        <f>'Train Operating Costs'!AO17</f>
        <v>544.33758314855868</v>
      </c>
      <c r="AP13" s="81">
        <f>'Train Operating Costs'!AP17</f>
        <v>544.33758314855868</v>
      </c>
      <c r="AQ13" s="81">
        <f>'Train Operating Costs'!AQ17</f>
        <v>544.33758314855868</v>
      </c>
      <c r="AR13" s="81">
        <f>'Train Operating Costs'!AR17</f>
        <v>544.33758314855868</v>
      </c>
      <c r="AS13" s="81">
        <f>'Train Operating Costs'!AS17</f>
        <v>544.33758314855868</v>
      </c>
    </row>
    <row r="14" spans="1:45">
      <c r="A14" s="26" t="str">
        <f>"PREFERRED (No "&amp;'BCA Summary'!$E$1&amp;") total annual avoided train idling, hrs"</f>
        <v>PREFERRED (No BUILD Grant) total annual avoided train idling, hrs</v>
      </c>
      <c r="D14" s="82">
        <f>SUM(E14:AR14)</f>
        <v>16123.586474501131</v>
      </c>
      <c r="E14" s="82">
        <f>'Train Operating Costs'!E18</f>
        <v>544.33758314855868</v>
      </c>
      <c r="F14" s="82">
        <f>'Train Operating Costs'!F18</f>
        <v>544.33758314855868</v>
      </c>
      <c r="G14" s="82">
        <f>'Train Operating Costs'!G18</f>
        <v>544.33758314855868</v>
      </c>
      <c r="H14" s="82">
        <f>'Train Operating Costs'!H18</f>
        <v>544.33758314855868</v>
      </c>
      <c r="I14" s="82">
        <f>'Train Operating Costs'!I18</f>
        <v>544.33758314855868</v>
      </c>
      <c r="J14" s="82">
        <f>'Train Operating Costs'!J18</f>
        <v>544.33758314855868</v>
      </c>
      <c r="K14" s="82">
        <f>'Train Operating Costs'!K18</f>
        <v>544.33758314855868</v>
      </c>
      <c r="L14" s="82">
        <f>'Train Operating Costs'!L18</f>
        <v>544.33758314855868</v>
      </c>
      <c r="M14" s="82">
        <f>'Train Operating Costs'!M18</f>
        <v>544.33758314855868</v>
      </c>
      <c r="N14" s="82">
        <f>'Train Operating Costs'!N18</f>
        <v>544.33758314855868</v>
      </c>
      <c r="O14" s="82">
        <f>'Train Operating Costs'!O18</f>
        <v>544.33758314855868</v>
      </c>
      <c r="P14" s="82">
        <f>'Train Operating Costs'!P18</f>
        <v>544.33758314855868</v>
      </c>
      <c r="Q14" s="82">
        <f>'Train Operating Costs'!Q18</f>
        <v>544.33758314855868</v>
      </c>
      <c r="R14" s="82">
        <f>'Train Operating Costs'!R18</f>
        <v>544.33758314855868</v>
      </c>
      <c r="S14" s="82">
        <f>'Train Operating Costs'!S18</f>
        <v>544.33758314855868</v>
      </c>
      <c r="T14" s="82">
        <f>'Train Operating Costs'!T18</f>
        <v>318.34090909090912</v>
      </c>
      <c r="U14" s="82">
        <f>'Train Operating Costs'!U18</f>
        <v>318.34090909090912</v>
      </c>
      <c r="V14" s="82">
        <f>'Train Operating Costs'!V18</f>
        <v>318.34090909090912</v>
      </c>
      <c r="W14" s="82">
        <f>'Train Operating Costs'!W18</f>
        <v>318.34090909090912</v>
      </c>
      <c r="X14" s="82">
        <f>'Train Operating Costs'!X18</f>
        <v>318.34090909090912</v>
      </c>
      <c r="Y14" s="82">
        <f>'Train Operating Costs'!Y18</f>
        <v>318.34090909090912</v>
      </c>
      <c r="Z14" s="82">
        <f>'Train Operating Costs'!Z18</f>
        <v>318.34090909090912</v>
      </c>
      <c r="AA14" s="82">
        <f>'Train Operating Costs'!AA18</f>
        <v>318.34090909090912</v>
      </c>
      <c r="AB14" s="82">
        <f>'Train Operating Costs'!AB18</f>
        <v>318.34090909090912</v>
      </c>
      <c r="AC14" s="82">
        <f>'Train Operating Costs'!AC18</f>
        <v>318.34090909090912</v>
      </c>
      <c r="AD14" s="82">
        <f>'Train Operating Costs'!AD18</f>
        <v>318.34090909090912</v>
      </c>
      <c r="AE14" s="82">
        <f>'Train Operating Costs'!AE18</f>
        <v>318.34090909090912</v>
      </c>
      <c r="AF14" s="82">
        <f>'Train Operating Costs'!AF18</f>
        <v>318.34090909090912</v>
      </c>
      <c r="AG14" s="82">
        <f>'Train Operating Costs'!AG18</f>
        <v>318.34090909090912</v>
      </c>
      <c r="AH14" s="82">
        <f>'Train Operating Costs'!AH18</f>
        <v>318.34090909090912</v>
      </c>
      <c r="AI14" s="82">
        <f>'Train Operating Costs'!AI18</f>
        <v>318.34090909090912</v>
      </c>
      <c r="AJ14" s="82">
        <f>'Train Operating Costs'!AJ18</f>
        <v>318.34090909090912</v>
      </c>
      <c r="AK14" s="82">
        <f>'Train Operating Costs'!AK18</f>
        <v>318.34090909090912</v>
      </c>
      <c r="AL14" s="82">
        <f>'Train Operating Costs'!AL18</f>
        <v>318.34090909090912</v>
      </c>
      <c r="AM14" s="82">
        <f>'Train Operating Costs'!AM18</f>
        <v>318.34090909090912</v>
      </c>
      <c r="AN14" s="82">
        <f>'Train Operating Costs'!AN18</f>
        <v>318.34090909090912</v>
      </c>
      <c r="AO14" s="82">
        <f>'Train Operating Costs'!AO18</f>
        <v>318.34090909090912</v>
      </c>
      <c r="AP14" s="82">
        <f>'Train Operating Costs'!AP18</f>
        <v>318.34090909090912</v>
      </c>
      <c r="AQ14" s="82">
        <f>'Train Operating Costs'!AQ18</f>
        <v>318.34090909090912</v>
      </c>
      <c r="AR14" s="82">
        <f>'Train Operating Costs'!AR18</f>
        <v>318.34090909090912</v>
      </c>
      <c r="AS14" s="82">
        <f>'Train Operating Costs'!AS18</f>
        <v>318.34090909090912</v>
      </c>
    </row>
    <row r="15" spans="1:45">
      <c r="A15" s="39" t="s">
        <v>30</v>
      </c>
      <c r="B15" s="40"/>
      <c r="C15" s="40"/>
      <c r="D15" s="83">
        <f>SUM(E15:AR15)</f>
        <v>5649.9168514412386</v>
      </c>
      <c r="E15" s="83">
        <f>'Train Operating Costs'!E19</f>
        <v>0</v>
      </c>
      <c r="F15" s="83">
        <f>'Train Operating Costs'!F19</f>
        <v>0</v>
      </c>
      <c r="G15" s="83">
        <f>'Train Operating Costs'!G19</f>
        <v>0</v>
      </c>
      <c r="H15" s="83">
        <f>'Train Operating Costs'!H19</f>
        <v>0</v>
      </c>
      <c r="I15" s="83">
        <f>'Train Operating Costs'!I19</f>
        <v>0</v>
      </c>
      <c r="J15" s="83">
        <f>'Train Operating Costs'!J19</f>
        <v>0</v>
      </c>
      <c r="K15" s="83">
        <f>'Train Operating Costs'!K19</f>
        <v>0</v>
      </c>
      <c r="L15" s="83">
        <f>'Train Operating Costs'!L19</f>
        <v>0</v>
      </c>
      <c r="M15" s="83">
        <f>'Train Operating Costs'!M19</f>
        <v>0</v>
      </c>
      <c r="N15" s="83">
        <f>'Train Operating Costs'!N19</f>
        <v>0</v>
      </c>
      <c r="O15" s="83">
        <f>'Train Operating Costs'!O19</f>
        <v>0</v>
      </c>
      <c r="P15" s="83">
        <f>'Train Operating Costs'!P19</f>
        <v>0</v>
      </c>
      <c r="Q15" s="83">
        <f>'Train Operating Costs'!Q19</f>
        <v>0</v>
      </c>
      <c r="R15" s="83">
        <f>'Train Operating Costs'!R19</f>
        <v>0</v>
      </c>
      <c r="S15" s="83">
        <f>'Train Operating Costs'!S19</f>
        <v>0</v>
      </c>
      <c r="T15" s="83">
        <f>'Train Operating Costs'!T19</f>
        <v>225.99667405764956</v>
      </c>
      <c r="U15" s="83">
        <f>'Train Operating Costs'!U19</f>
        <v>225.99667405764956</v>
      </c>
      <c r="V15" s="83">
        <f>'Train Operating Costs'!V19</f>
        <v>225.99667405764956</v>
      </c>
      <c r="W15" s="83">
        <f>'Train Operating Costs'!W19</f>
        <v>225.99667405764956</v>
      </c>
      <c r="X15" s="83">
        <f>'Train Operating Costs'!X19</f>
        <v>225.99667405764956</v>
      </c>
      <c r="Y15" s="83">
        <f>'Train Operating Costs'!Y19</f>
        <v>225.99667405764956</v>
      </c>
      <c r="Z15" s="83">
        <f>'Train Operating Costs'!Z19</f>
        <v>225.99667405764956</v>
      </c>
      <c r="AA15" s="83">
        <f>'Train Operating Costs'!AA19</f>
        <v>225.99667405764956</v>
      </c>
      <c r="AB15" s="83">
        <f>'Train Operating Costs'!AB19</f>
        <v>225.99667405764956</v>
      </c>
      <c r="AC15" s="83">
        <f>'Train Operating Costs'!AC19</f>
        <v>225.99667405764956</v>
      </c>
      <c r="AD15" s="83">
        <f>'Train Operating Costs'!AD19</f>
        <v>225.99667405764956</v>
      </c>
      <c r="AE15" s="83">
        <f>'Train Operating Costs'!AE19</f>
        <v>225.99667405764956</v>
      </c>
      <c r="AF15" s="83">
        <f>'Train Operating Costs'!AF19</f>
        <v>225.99667405764956</v>
      </c>
      <c r="AG15" s="83">
        <f>'Train Operating Costs'!AG19</f>
        <v>225.99667405764956</v>
      </c>
      <c r="AH15" s="83">
        <f>'Train Operating Costs'!AH19</f>
        <v>225.99667405764956</v>
      </c>
      <c r="AI15" s="83">
        <f>'Train Operating Costs'!AI19</f>
        <v>225.99667405764956</v>
      </c>
      <c r="AJ15" s="83">
        <f>'Train Operating Costs'!AJ19</f>
        <v>225.99667405764956</v>
      </c>
      <c r="AK15" s="83">
        <f>'Train Operating Costs'!AK19</f>
        <v>225.99667405764956</v>
      </c>
      <c r="AL15" s="83">
        <f>'Train Operating Costs'!AL19</f>
        <v>225.99667405764956</v>
      </c>
      <c r="AM15" s="83">
        <f>'Train Operating Costs'!AM19</f>
        <v>225.99667405764956</v>
      </c>
      <c r="AN15" s="83">
        <f>'Train Operating Costs'!AN19</f>
        <v>225.99667405764956</v>
      </c>
      <c r="AO15" s="83">
        <f>'Train Operating Costs'!AO19</f>
        <v>225.99667405764956</v>
      </c>
      <c r="AP15" s="83">
        <f>'Train Operating Costs'!AP19</f>
        <v>225.99667405764956</v>
      </c>
      <c r="AQ15" s="83">
        <f>'Train Operating Costs'!AQ19</f>
        <v>225.99667405764956</v>
      </c>
      <c r="AR15" s="83">
        <f>'Train Operating Costs'!AR19</f>
        <v>225.99667405764956</v>
      </c>
      <c r="AS15" s="83">
        <f>'Train Operating Costs'!AS19</f>
        <v>225.99667405764956</v>
      </c>
    </row>
    <row r="16" spans="1:45"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</row>
    <row r="17" spans="1:45" ht="18" thickBot="1">
      <c r="A17" s="17" t="s">
        <v>91</v>
      </c>
      <c r="B17" s="17"/>
      <c r="C17" s="17"/>
      <c r="D17" s="17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</row>
    <row r="18" spans="1:45" ht="14" thickTop="1">
      <c r="A18" s="37" t="str">
        <f>"BASELINE (No "&amp;'BCA Summary'!$E$1&amp;") Fatalities"</f>
        <v>BASELINE (No BUILD Grant) Fatalities</v>
      </c>
      <c r="B18" s="37"/>
      <c r="C18" s="38"/>
      <c r="D18" s="81">
        <f>SUM(E18:AS18)</f>
        <v>0</v>
      </c>
      <c r="E18" s="81">
        <f>'Safety - Veh'!E39</f>
        <v>0</v>
      </c>
      <c r="F18" s="81">
        <f>'Safety - Veh'!F39</f>
        <v>0</v>
      </c>
      <c r="G18" s="81">
        <f>'Safety - Veh'!G39</f>
        <v>0</v>
      </c>
      <c r="H18" s="81">
        <f>'Safety - Veh'!H39</f>
        <v>0</v>
      </c>
      <c r="I18" s="81">
        <f>'Safety - Veh'!I39</f>
        <v>0</v>
      </c>
      <c r="J18" s="81">
        <f>'Safety - Veh'!J39</f>
        <v>0</v>
      </c>
      <c r="K18" s="81">
        <f>'Safety - Veh'!K39</f>
        <v>0</v>
      </c>
      <c r="L18" s="81">
        <f>'Safety - Veh'!L39</f>
        <v>0</v>
      </c>
      <c r="M18" s="81">
        <f>'Safety - Veh'!M39</f>
        <v>0</v>
      </c>
      <c r="N18" s="81">
        <f>'Safety - Veh'!N39</f>
        <v>0</v>
      </c>
      <c r="O18" s="81">
        <f>'Safety - Veh'!O39</f>
        <v>0</v>
      </c>
      <c r="P18" s="81">
        <f>'Safety - Veh'!P39</f>
        <v>0</v>
      </c>
      <c r="Q18" s="81">
        <f>'Safety - Veh'!Q39</f>
        <v>0</v>
      </c>
      <c r="R18" s="81">
        <f>'Safety - Veh'!R39</f>
        <v>0</v>
      </c>
      <c r="S18" s="81">
        <f>'Safety - Veh'!S39</f>
        <v>0</v>
      </c>
      <c r="T18" s="81">
        <f>'Safety - Veh'!T39</f>
        <v>0</v>
      </c>
      <c r="U18" s="81">
        <f>'Safety - Veh'!U39</f>
        <v>0</v>
      </c>
      <c r="V18" s="81">
        <f>'Safety - Veh'!V39</f>
        <v>0</v>
      </c>
      <c r="W18" s="81">
        <f>'Safety - Veh'!W39</f>
        <v>0</v>
      </c>
      <c r="X18" s="81">
        <f>'Safety - Veh'!X39</f>
        <v>0</v>
      </c>
      <c r="Y18" s="81">
        <f>'Safety - Veh'!Y39</f>
        <v>0</v>
      </c>
      <c r="Z18" s="81">
        <f>'Safety - Veh'!Z39</f>
        <v>0</v>
      </c>
      <c r="AA18" s="81">
        <f>'Safety - Veh'!AA39</f>
        <v>0</v>
      </c>
      <c r="AB18" s="81">
        <f>'Safety - Veh'!AB39</f>
        <v>0</v>
      </c>
      <c r="AC18" s="81">
        <f>'Safety - Veh'!AC39</f>
        <v>0</v>
      </c>
      <c r="AD18" s="81">
        <f>'Safety - Veh'!AD39</f>
        <v>0</v>
      </c>
      <c r="AE18" s="81">
        <f>'Safety - Veh'!AE39</f>
        <v>0</v>
      </c>
      <c r="AF18" s="81">
        <f>'Safety - Veh'!AF39</f>
        <v>0</v>
      </c>
      <c r="AG18" s="81">
        <f>'Safety - Veh'!AG39</f>
        <v>0</v>
      </c>
      <c r="AH18" s="81">
        <f>'Safety - Veh'!AH39</f>
        <v>0</v>
      </c>
      <c r="AI18" s="81">
        <f>'Safety - Veh'!AI39</f>
        <v>0</v>
      </c>
      <c r="AJ18" s="81">
        <f>'Safety - Veh'!AJ39</f>
        <v>0</v>
      </c>
      <c r="AK18" s="81">
        <f>'Safety - Veh'!AK39</f>
        <v>0</v>
      </c>
      <c r="AL18" s="81">
        <f>'Safety - Veh'!AL39</f>
        <v>0</v>
      </c>
      <c r="AM18" s="81">
        <f>'Safety - Veh'!AM39</f>
        <v>0</v>
      </c>
      <c r="AN18" s="81">
        <f>'Safety - Veh'!AN39</f>
        <v>0</v>
      </c>
      <c r="AO18" s="81">
        <f>'Safety - Veh'!AO39</f>
        <v>0</v>
      </c>
      <c r="AP18" s="81">
        <f>'Safety - Veh'!AP39</f>
        <v>0</v>
      </c>
      <c r="AQ18" s="81">
        <f>'Safety - Veh'!AQ39</f>
        <v>0</v>
      </c>
      <c r="AR18" s="81">
        <f>'Safety - Veh'!AR39</f>
        <v>0</v>
      </c>
      <c r="AS18" s="81">
        <f>'Safety - Veh'!AS39</f>
        <v>0</v>
      </c>
    </row>
    <row r="19" spans="1:45">
      <c r="A19" s="26" t="str">
        <f>"PREFERRED (With "&amp;'BCA Summary'!$E$1&amp;") Fatalities"</f>
        <v>PREFERRED (With BUILD Grant) Fatalities</v>
      </c>
      <c r="B19" s="26"/>
      <c r="D19" s="82">
        <f>SUM(E19:AS19)</f>
        <v>0</v>
      </c>
      <c r="E19" s="82">
        <f>'Safety - Veh'!E40</f>
        <v>0</v>
      </c>
      <c r="F19" s="82">
        <f>'Safety - Veh'!F40</f>
        <v>0</v>
      </c>
      <c r="G19" s="82">
        <f>'Safety - Veh'!G40</f>
        <v>0</v>
      </c>
      <c r="H19" s="82">
        <f>'Safety - Veh'!H40</f>
        <v>0</v>
      </c>
      <c r="I19" s="82">
        <f>'Safety - Veh'!I40</f>
        <v>0</v>
      </c>
      <c r="J19" s="82">
        <f>'Safety - Veh'!J40</f>
        <v>0</v>
      </c>
      <c r="K19" s="82">
        <f>'Safety - Veh'!K40</f>
        <v>0</v>
      </c>
      <c r="L19" s="82">
        <f>'Safety - Veh'!L40</f>
        <v>0</v>
      </c>
      <c r="M19" s="82">
        <f>'Safety - Veh'!M40</f>
        <v>0</v>
      </c>
      <c r="N19" s="82">
        <f>'Safety - Veh'!N40</f>
        <v>0</v>
      </c>
      <c r="O19" s="82">
        <f>'Safety - Veh'!O40</f>
        <v>0</v>
      </c>
      <c r="P19" s="82">
        <f>'Safety - Veh'!P40</f>
        <v>0</v>
      </c>
      <c r="Q19" s="82">
        <f>'Safety - Veh'!Q40</f>
        <v>0</v>
      </c>
      <c r="R19" s="82">
        <f>'Safety - Veh'!R40</f>
        <v>0</v>
      </c>
      <c r="S19" s="82">
        <f>'Safety - Veh'!S40</f>
        <v>0</v>
      </c>
      <c r="T19" s="82">
        <f>'Safety - Veh'!T40</f>
        <v>0</v>
      </c>
      <c r="U19" s="82">
        <f>'Safety - Veh'!U40</f>
        <v>0</v>
      </c>
      <c r="V19" s="82">
        <f>'Safety - Veh'!V40</f>
        <v>0</v>
      </c>
      <c r="W19" s="82">
        <f>'Safety - Veh'!W40</f>
        <v>0</v>
      </c>
      <c r="X19" s="82">
        <f>'Safety - Veh'!X40</f>
        <v>0</v>
      </c>
      <c r="Y19" s="82">
        <f>'Safety - Veh'!Y40</f>
        <v>0</v>
      </c>
      <c r="Z19" s="82">
        <f>'Safety - Veh'!Z40</f>
        <v>0</v>
      </c>
      <c r="AA19" s="82">
        <f>'Safety - Veh'!AA40</f>
        <v>0</v>
      </c>
      <c r="AB19" s="82">
        <f>'Safety - Veh'!AB40</f>
        <v>0</v>
      </c>
      <c r="AC19" s="82">
        <f>'Safety - Veh'!AC40</f>
        <v>0</v>
      </c>
      <c r="AD19" s="82">
        <f>'Safety - Veh'!AD40</f>
        <v>0</v>
      </c>
      <c r="AE19" s="82">
        <f>'Safety - Veh'!AE40</f>
        <v>0</v>
      </c>
      <c r="AF19" s="82">
        <f>'Safety - Veh'!AF40</f>
        <v>0</v>
      </c>
      <c r="AG19" s="82">
        <f>'Safety - Veh'!AG40</f>
        <v>0</v>
      </c>
      <c r="AH19" s="82">
        <f>'Safety - Veh'!AH40</f>
        <v>0</v>
      </c>
      <c r="AI19" s="82">
        <f>'Safety - Veh'!AI40</f>
        <v>0</v>
      </c>
      <c r="AJ19" s="82">
        <f>'Safety - Veh'!AJ40</f>
        <v>0</v>
      </c>
      <c r="AK19" s="82">
        <f>'Safety - Veh'!AK40</f>
        <v>0</v>
      </c>
      <c r="AL19" s="82">
        <f>'Safety - Veh'!AL40</f>
        <v>0</v>
      </c>
      <c r="AM19" s="82">
        <f>'Safety - Veh'!AM40</f>
        <v>0</v>
      </c>
      <c r="AN19" s="82">
        <f>'Safety - Veh'!AN40</f>
        <v>0</v>
      </c>
      <c r="AO19" s="82">
        <f>'Safety - Veh'!AO40</f>
        <v>0</v>
      </c>
      <c r="AP19" s="82">
        <f>'Safety - Veh'!AP40</f>
        <v>0</v>
      </c>
      <c r="AQ19" s="82">
        <f>'Safety - Veh'!AQ40</f>
        <v>0</v>
      </c>
      <c r="AR19" s="82">
        <f>'Safety - Veh'!AR40</f>
        <v>0</v>
      </c>
      <c r="AS19" s="82">
        <f>'Safety - Veh'!AS40</f>
        <v>0</v>
      </c>
    </row>
    <row r="20" spans="1:45">
      <c r="A20" s="39" t="s">
        <v>139</v>
      </c>
      <c r="B20" s="39"/>
      <c r="C20" s="40"/>
      <c r="D20" s="83">
        <f>SUM(E20:AS20)</f>
        <v>0</v>
      </c>
      <c r="E20" s="83">
        <f>E18-E19</f>
        <v>0</v>
      </c>
      <c r="F20" s="83">
        <f t="shared" ref="F20:AR20" si="4">F18-F19</f>
        <v>0</v>
      </c>
      <c r="G20" s="83">
        <f t="shared" si="4"/>
        <v>0</v>
      </c>
      <c r="H20" s="83">
        <f t="shared" si="4"/>
        <v>0</v>
      </c>
      <c r="I20" s="83">
        <f t="shared" si="4"/>
        <v>0</v>
      </c>
      <c r="J20" s="83">
        <f t="shared" si="4"/>
        <v>0</v>
      </c>
      <c r="K20" s="83">
        <f t="shared" si="4"/>
        <v>0</v>
      </c>
      <c r="L20" s="83">
        <f t="shared" si="4"/>
        <v>0</v>
      </c>
      <c r="M20" s="83">
        <f t="shared" si="4"/>
        <v>0</v>
      </c>
      <c r="N20" s="83">
        <f t="shared" si="4"/>
        <v>0</v>
      </c>
      <c r="O20" s="83">
        <f t="shared" si="4"/>
        <v>0</v>
      </c>
      <c r="P20" s="83">
        <f t="shared" si="4"/>
        <v>0</v>
      </c>
      <c r="Q20" s="83">
        <f t="shared" si="4"/>
        <v>0</v>
      </c>
      <c r="R20" s="83">
        <f t="shared" si="4"/>
        <v>0</v>
      </c>
      <c r="S20" s="83">
        <f t="shared" si="4"/>
        <v>0</v>
      </c>
      <c r="T20" s="83">
        <f t="shared" si="4"/>
        <v>0</v>
      </c>
      <c r="U20" s="83">
        <f t="shared" si="4"/>
        <v>0</v>
      </c>
      <c r="V20" s="83">
        <f t="shared" si="4"/>
        <v>0</v>
      </c>
      <c r="W20" s="83">
        <f t="shared" si="4"/>
        <v>0</v>
      </c>
      <c r="X20" s="83">
        <f t="shared" si="4"/>
        <v>0</v>
      </c>
      <c r="Y20" s="83">
        <f t="shared" si="4"/>
        <v>0</v>
      </c>
      <c r="Z20" s="83">
        <f t="shared" si="4"/>
        <v>0</v>
      </c>
      <c r="AA20" s="83">
        <f t="shared" si="4"/>
        <v>0</v>
      </c>
      <c r="AB20" s="83">
        <f t="shared" si="4"/>
        <v>0</v>
      </c>
      <c r="AC20" s="83">
        <f t="shared" si="4"/>
        <v>0</v>
      </c>
      <c r="AD20" s="83">
        <f t="shared" si="4"/>
        <v>0</v>
      </c>
      <c r="AE20" s="83">
        <f t="shared" si="4"/>
        <v>0</v>
      </c>
      <c r="AF20" s="83">
        <f t="shared" si="4"/>
        <v>0</v>
      </c>
      <c r="AG20" s="83">
        <f t="shared" si="4"/>
        <v>0</v>
      </c>
      <c r="AH20" s="83">
        <f t="shared" si="4"/>
        <v>0</v>
      </c>
      <c r="AI20" s="83">
        <f t="shared" si="4"/>
        <v>0</v>
      </c>
      <c r="AJ20" s="83">
        <f t="shared" si="4"/>
        <v>0</v>
      </c>
      <c r="AK20" s="83">
        <f t="shared" si="4"/>
        <v>0</v>
      </c>
      <c r="AL20" s="83">
        <f t="shared" si="4"/>
        <v>0</v>
      </c>
      <c r="AM20" s="83">
        <f t="shared" si="4"/>
        <v>0</v>
      </c>
      <c r="AN20" s="83">
        <f t="shared" si="4"/>
        <v>0</v>
      </c>
      <c r="AO20" s="83">
        <f t="shared" si="4"/>
        <v>0</v>
      </c>
      <c r="AP20" s="83">
        <f t="shared" si="4"/>
        <v>0</v>
      </c>
      <c r="AQ20" s="83">
        <f t="shared" si="4"/>
        <v>0</v>
      </c>
      <c r="AR20" s="83">
        <f t="shared" si="4"/>
        <v>0</v>
      </c>
      <c r="AS20" s="83">
        <f t="shared" ref="AS20" si="5">AS18-AS19</f>
        <v>0</v>
      </c>
    </row>
    <row r="21" spans="1:45">
      <c r="A21"/>
      <c r="D21" s="146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</row>
    <row r="22" spans="1:45">
      <c r="A22" s="37" t="str">
        <f>"BASELINE (No "&amp;'BCA Summary'!$E$1&amp;") Injuries"</f>
        <v>BASELINE (No BUILD Grant) Injuries</v>
      </c>
      <c r="B22" s="37"/>
      <c r="C22" s="38"/>
      <c r="D22" s="81">
        <f>SUM(E22:AS22)</f>
        <v>718.68942199509172</v>
      </c>
      <c r="E22" s="81">
        <f>'Safety - Veh'!E43</f>
        <v>12.476712328767123</v>
      </c>
      <c r="F22" s="81">
        <f>'Safety - Veh'!F43</f>
        <v>12.200106976086268</v>
      </c>
      <c r="G22" s="81">
        <f>'Safety - Veh'!G43</f>
        <v>12.476712328767123</v>
      </c>
      <c r="H22" s="81">
        <f>'Safety - Veh'!H43</f>
        <v>12.753317681447978</v>
      </c>
      <c r="I22" s="81">
        <f>'Safety - Veh'!I43</f>
        <v>13.494620026632674</v>
      </c>
      <c r="J22" s="81">
        <f>'Safety - Veh'!J43</f>
        <v>13.749096951099059</v>
      </c>
      <c r="K22" s="81">
        <f>'Safety - Veh'!K43</f>
        <v>14.003573875565451</v>
      </c>
      <c r="L22" s="81">
        <f>'Safety - Veh'!L43</f>
        <v>14.258050800031837</v>
      </c>
      <c r="M22" s="81">
        <f>'Safety - Veh'!M43</f>
        <v>14.512527724498225</v>
      </c>
      <c r="N22" s="81">
        <f>'Safety - Veh'!N43</f>
        <v>14.767004648964612</v>
      </c>
      <c r="O22" s="81">
        <f>'Safety - Veh'!O43</f>
        <v>15.021481573431</v>
      </c>
      <c r="P22" s="81">
        <f>'Safety - Veh'!P43</f>
        <v>15.275958497897388</v>
      </c>
      <c r="Q22" s="81">
        <f>'Safety - Veh'!Q43</f>
        <v>15.530435422363777</v>
      </c>
      <c r="R22" s="81">
        <f>'Safety - Veh'!R43</f>
        <v>15.784912346830165</v>
      </c>
      <c r="S22" s="81">
        <f>'Safety - Veh'!S43</f>
        <v>16.03938927129655</v>
      </c>
      <c r="T22" s="81">
        <f>'Safety - Veh'!T43</f>
        <v>16.293866195762938</v>
      </c>
      <c r="U22" s="81">
        <f>'Safety - Veh'!U43</f>
        <v>16.548343120229323</v>
      </c>
      <c r="V22" s="81">
        <f>'Safety - Veh'!V43</f>
        <v>16.802820044695714</v>
      </c>
      <c r="W22" s="81">
        <f>'Safety - Veh'!W43</f>
        <v>17.057296969162103</v>
      </c>
      <c r="X22" s="81">
        <f>'Safety - Veh'!X43</f>
        <v>17.311773893628491</v>
      </c>
      <c r="Y22" s="81">
        <f>'Safety - Veh'!Y43</f>
        <v>17.566250818094879</v>
      </c>
      <c r="Z22" s="81">
        <f>'Safety - Veh'!Z43</f>
        <v>17.820727742561264</v>
      </c>
      <c r="AA22" s="81">
        <f>'Safety - Veh'!AA43</f>
        <v>18.075204667027652</v>
      </c>
      <c r="AB22" s="81">
        <f>'Safety - Veh'!AB43</f>
        <v>18.32968159149404</v>
      </c>
      <c r="AC22" s="81">
        <f>'Safety - Veh'!AC43</f>
        <v>18.584158515960425</v>
      </c>
      <c r="AD22" s="81">
        <f>'Safety - Veh'!AD43</f>
        <v>18.838635440426813</v>
      </c>
      <c r="AE22" s="81">
        <f>'Safety - Veh'!AE43</f>
        <v>19.093112364893202</v>
      </c>
      <c r="AF22" s="81">
        <f>'Safety - Veh'!AF43</f>
        <v>19.34758928935959</v>
      </c>
      <c r="AG22" s="81">
        <f>'Safety - Veh'!AG43</f>
        <v>19.602066213825978</v>
      </c>
      <c r="AH22" s="81">
        <f>'Safety - Veh'!AH43</f>
        <v>19.856543138292366</v>
      </c>
      <c r="AI22" s="81">
        <f>'Safety - Veh'!AI43</f>
        <v>20.111020062758755</v>
      </c>
      <c r="AJ22" s="81">
        <f>'Safety - Veh'!AJ43</f>
        <v>20.365496987225143</v>
      </c>
      <c r="AK22" s="81">
        <f>'Safety - Veh'!AK43</f>
        <v>20.619973911691527</v>
      </c>
      <c r="AL22" s="81">
        <f>'Safety - Veh'!AL43</f>
        <v>20.874450836157919</v>
      </c>
      <c r="AM22" s="81">
        <f>'Safety - Veh'!AM43</f>
        <v>21.128927760624304</v>
      </c>
      <c r="AN22" s="81">
        <f>'Safety - Veh'!AN43</f>
        <v>21.383404685090689</v>
      </c>
      <c r="AO22" s="81">
        <f>'Safety - Veh'!AO43</f>
        <v>21.637881609557077</v>
      </c>
      <c r="AP22" s="81">
        <f>'Safety - Veh'!AP43</f>
        <v>21.892358534023465</v>
      </c>
      <c r="AQ22" s="81">
        <f>'Safety - Veh'!AQ43</f>
        <v>22.146835458489853</v>
      </c>
      <c r="AR22" s="81">
        <f>'Safety - Veh'!AR43</f>
        <v>22.401312382956242</v>
      </c>
      <c r="AS22" s="81">
        <f>'Safety - Veh'!AS43</f>
        <v>22.65578930742263</v>
      </c>
    </row>
    <row r="23" spans="1:45">
      <c r="A23" s="26" t="str">
        <f>"PREFERRED (With "&amp;'BCA Summary'!$E$1&amp;") Injuries"</f>
        <v>PREFERRED (With BUILD Grant) Injuries</v>
      </c>
      <c r="B23" s="26"/>
      <c r="D23" s="82">
        <f>SUM(E23:AS23)</f>
        <v>336.79794738353098</v>
      </c>
      <c r="E23" s="82">
        <f>'Safety - Veh'!E44</f>
        <v>12.476712328767123</v>
      </c>
      <c r="F23" s="82">
        <f>'Safety - Veh'!F44</f>
        <v>12.200106976086268</v>
      </c>
      <c r="G23" s="82">
        <f>'Safety - Veh'!G44</f>
        <v>12.476712328767123</v>
      </c>
      <c r="H23" s="82">
        <f>'Safety - Veh'!H44</f>
        <v>12.753317681447978</v>
      </c>
      <c r="I23" s="82">
        <f>'Safety - Veh'!I44</f>
        <v>13.494620026632674</v>
      </c>
      <c r="J23" s="82">
        <f>'Safety - Veh'!J44</f>
        <v>13.749096951099059</v>
      </c>
      <c r="K23" s="82">
        <f>'Safety - Veh'!K44</f>
        <v>14.003573875565451</v>
      </c>
      <c r="L23" s="82">
        <f>'Safety - Veh'!L44</f>
        <v>14.258050800031837</v>
      </c>
      <c r="M23" s="82">
        <f>'Safety - Veh'!M44</f>
        <v>14.512527724498225</v>
      </c>
      <c r="N23" s="82">
        <f>'Safety - Veh'!N44</f>
        <v>14.767004648964612</v>
      </c>
      <c r="O23" s="82">
        <f>'Safety - Veh'!O44</f>
        <v>15.021481573431</v>
      </c>
      <c r="P23" s="82">
        <f>'Safety - Veh'!P44</f>
        <v>15.275958497897388</v>
      </c>
      <c r="Q23" s="82">
        <f>'Safety - Veh'!Q44</f>
        <v>15.530435422363777</v>
      </c>
      <c r="R23" s="82">
        <f>'Safety - Veh'!R44</f>
        <v>15.784912346830165</v>
      </c>
      <c r="S23" s="82">
        <f>'Safety - Veh'!S44</f>
        <v>16.03938927129655</v>
      </c>
      <c r="T23" s="82">
        <f>'Safety - Veh'!T44</f>
        <v>3.6644502699941386</v>
      </c>
      <c r="U23" s="82">
        <f>'Safety - Veh'!U44</f>
        <v>3.7569624447246519</v>
      </c>
      <c r="V23" s="82">
        <f>'Safety - Veh'!V44</f>
        <v>3.8494746194551661</v>
      </c>
      <c r="W23" s="82">
        <f>'Safety - Veh'!W44</f>
        <v>3.9419867941856803</v>
      </c>
      <c r="X23" s="82">
        <f>'Safety - Veh'!X44</f>
        <v>4.0344989689161945</v>
      </c>
      <c r="Y23" s="82">
        <f>'Safety - Veh'!Y44</f>
        <v>4.1270111436467083</v>
      </c>
      <c r="Z23" s="82">
        <f>'Safety - Veh'!Z44</f>
        <v>4.2195233183772229</v>
      </c>
      <c r="AA23" s="82">
        <f>'Safety - Veh'!AA44</f>
        <v>4.3120354931077358</v>
      </c>
      <c r="AB23" s="82">
        <f>'Safety - Veh'!AB44</f>
        <v>4.4045476678382505</v>
      </c>
      <c r="AC23" s="82">
        <f>'Safety - Veh'!AC44</f>
        <v>4.4970598425687642</v>
      </c>
      <c r="AD23" s="82">
        <f>'Safety - Veh'!AD44</f>
        <v>4.589572017299278</v>
      </c>
      <c r="AE23" s="82">
        <f>'Safety - Veh'!AE44</f>
        <v>4.6746832180513511</v>
      </c>
      <c r="AF23" s="82">
        <f>'Safety - Veh'!AF44</f>
        <v>4.7597944188034234</v>
      </c>
      <c r="AG23" s="82">
        <f>'Safety - Veh'!AG44</f>
        <v>4.8449056195554974</v>
      </c>
      <c r="AH23" s="82">
        <f>'Safety - Veh'!AH44</f>
        <v>4.9300168203075705</v>
      </c>
      <c r="AI23" s="82">
        <f>'Safety - Veh'!AI44</f>
        <v>5.0151280210596427</v>
      </c>
      <c r="AJ23" s="82">
        <f>'Safety - Veh'!AJ44</f>
        <v>5.1002392218117159</v>
      </c>
      <c r="AK23" s="82">
        <f>'Safety - Veh'!AK44</f>
        <v>5.185350422563789</v>
      </c>
      <c r="AL23" s="82">
        <f>'Safety - Veh'!AL44</f>
        <v>5.2704616233158612</v>
      </c>
      <c r="AM23" s="82">
        <f>'Safety - Veh'!AM44</f>
        <v>5.3555728240679343</v>
      </c>
      <c r="AN23" s="82">
        <f>'Safety - Veh'!AN44</f>
        <v>5.4406840248200075</v>
      </c>
      <c r="AO23" s="82">
        <f>'Safety - Veh'!AO44</f>
        <v>5.5257952255720806</v>
      </c>
      <c r="AP23" s="82">
        <f>'Safety - Veh'!AP44</f>
        <v>5.6109064263241528</v>
      </c>
      <c r="AQ23" s="82">
        <f>'Safety - Veh'!AQ44</f>
        <v>5.6960176270762259</v>
      </c>
      <c r="AR23" s="82">
        <f>'Safety - Veh'!AR44</f>
        <v>5.7811288278282991</v>
      </c>
      <c r="AS23" s="82">
        <f>'Safety - Veh'!AS44</f>
        <v>5.8662400285803713</v>
      </c>
    </row>
    <row r="24" spans="1:45">
      <c r="A24" s="39" t="s">
        <v>140</v>
      </c>
      <c r="B24" s="39"/>
      <c r="C24" s="40"/>
      <c r="D24" s="83">
        <f>SUM(E24:AS24)</f>
        <v>381.89147461156062</v>
      </c>
      <c r="E24" s="83">
        <f>E22-E23</f>
        <v>0</v>
      </c>
      <c r="F24" s="83">
        <f t="shared" ref="F24:AR24" si="6">F22-F23</f>
        <v>0</v>
      </c>
      <c r="G24" s="83">
        <f t="shared" si="6"/>
        <v>0</v>
      </c>
      <c r="H24" s="83">
        <f t="shared" si="6"/>
        <v>0</v>
      </c>
      <c r="I24" s="83">
        <f t="shared" si="6"/>
        <v>0</v>
      </c>
      <c r="J24" s="83">
        <f t="shared" si="6"/>
        <v>0</v>
      </c>
      <c r="K24" s="83">
        <f t="shared" si="6"/>
        <v>0</v>
      </c>
      <c r="L24" s="83">
        <f t="shared" si="6"/>
        <v>0</v>
      </c>
      <c r="M24" s="83">
        <f t="shared" si="6"/>
        <v>0</v>
      </c>
      <c r="N24" s="83">
        <f t="shared" si="6"/>
        <v>0</v>
      </c>
      <c r="O24" s="83">
        <f t="shared" si="6"/>
        <v>0</v>
      </c>
      <c r="P24" s="83">
        <f t="shared" si="6"/>
        <v>0</v>
      </c>
      <c r="Q24" s="83">
        <f t="shared" si="6"/>
        <v>0</v>
      </c>
      <c r="R24" s="83">
        <f t="shared" si="6"/>
        <v>0</v>
      </c>
      <c r="S24" s="83">
        <f t="shared" si="6"/>
        <v>0</v>
      </c>
      <c r="T24" s="83">
        <f t="shared" si="6"/>
        <v>12.6294159257688</v>
      </c>
      <c r="U24" s="83">
        <f t="shared" si="6"/>
        <v>12.791380675504671</v>
      </c>
      <c r="V24" s="83">
        <f t="shared" si="6"/>
        <v>12.953345425240549</v>
      </c>
      <c r="W24" s="83">
        <f t="shared" si="6"/>
        <v>13.115310174976422</v>
      </c>
      <c r="X24" s="83">
        <f t="shared" si="6"/>
        <v>13.277274924712296</v>
      </c>
      <c r="Y24" s="83">
        <f t="shared" si="6"/>
        <v>13.439239674448171</v>
      </c>
      <c r="Z24" s="83">
        <f t="shared" si="6"/>
        <v>13.60120442418404</v>
      </c>
      <c r="AA24" s="83">
        <f t="shared" si="6"/>
        <v>13.763169173919916</v>
      </c>
      <c r="AB24" s="83">
        <f t="shared" si="6"/>
        <v>13.925133923655789</v>
      </c>
      <c r="AC24" s="83">
        <f t="shared" si="6"/>
        <v>14.087098673391662</v>
      </c>
      <c r="AD24" s="83">
        <f t="shared" si="6"/>
        <v>14.249063423127534</v>
      </c>
      <c r="AE24" s="83">
        <f t="shared" si="6"/>
        <v>14.41842914684185</v>
      </c>
      <c r="AF24" s="83">
        <f t="shared" si="6"/>
        <v>14.587794870556166</v>
      </c>
      <c r="AG24" s="83">
        <f t="shared" si="6"/>
        <v>14.757160594270481</v>
      </c>
      <c r="AH24" s="83">
        <f t="shared" si="6"/>
        <v>14.926526317984795</v>
      </c>
      <c r="AI24" s="83">
        <f t="shared" si="6"/>
        <v>15.095892041699113</v>
      </c>
      <c r="AJ24" s="83">
        <f t="shared" si="6"/>
        <v>15.265257765413427</v>
      </c>
      <c r="AK24" s="83">
        <f t="shared" si="6"/>
        <v>15.434623489127738</v>
      </c>
      <c r="AL24" s="83">
        <f t="shared" si="6"/>
        <v>15.603989212842059</v>
      </c>
      <c r="AM24" s="83">
        <f t="shared" si="6"/>
        <v>15.77335493655637</v>
      </c>
      <c r="AN24" s="83">
        <f t="shared" si="6"/>
        <v>15.94272066027068</v>
      </c>
      <c r="AO24" s="83">
        <f t="shared" si="6"/>
        <v>16.112086383984995</v>
      </c>
      <c r="AP24" s="83">
        <f t="shared" si="6"/>
        <v>16.281452107699312</v>
      </c>
      <c r="AQ24" s="83">
        <f t="shared" si="6"/>
        <v>16.450817831413627</v>
      </c>
      <c r="AR24" s="83">
        <f t="shared" si="6"/>
        <v>16.620183555127944</v>
      </c>
      <c r="AS24" s="83">
        <f t="shared" ref="AS24" si="7">AS22-AS23</f>
        <v>16.789549278842259</v>
      </c>
    </row>
    <row r="25" spans="1:45">
      <c r="A25"/>
      <c r="D25" s="146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</row>
    <row r="26" spans="1:45">
      <c r="A26" s="37" t="str">
        <f>"BASELINE (No "&amp;'BCA Summary'!$E$1&amp;") Vehicles involved in PDO Crashes"</f>
        <v>BASELINE (No BUILD Grant) Vehicles involved in PDO Crashes</v>
      </c>
      <c r="B26" s="37"/>
      <c r="C26" s="38"/>
      <c r="D26" s="81">
        <f>SUM(E26:AS26)</f>
        <v>3003.6989484600672</v>
      </c>
      <c r="E26" s="81">
        <f>'Safety - Veh'!E47</f>
        <v>53.854207436399207</v>
      </c>
      <c r="F26" s="81">
        <f>'Safety - Veh'!F47</f>
        <v>52.791718862037911</v>
      </c>
      <c r="G26" s="81">
        <f>'Safety - Veh'!G47</f>
        <v>53.854207436399207</v>
      </c>
      <c r="H26" s="81">
        <f>'Safety - Veh'!H47</f>
        <v>54.916696010760532</v>
      </c>
      <c r="I26" s="81">
        <f>'Safety - Veh'!I47</f>
        <v>57.764165390048838</v>
      </c>
      <c r="J26" s="81">
        <f>'Safety - Veh'!J47</f>
        <v>58.741654878461247</v>
      </c>
      <c r="K26" s="81">
        <f>'Safety - Veh'!K47</f>
        <v>59.71914436687365</v>
      </c>
      <c r="L26" s="81">
        <f>'Safety - Veh'!L47</f>
        <v>60.696633855286066</v>
      </c>
      <c r="M26" s="81">
        <f>'Safety - Veh'!M47</f>
        <v>61.674123343698469</v>
      </c>
      <c r="N26" s="81">
        <f>'Safety - Veh'!N47</f>
        <v>62.651612832110878</v>
      </c>
      <c r="O26" s="81">
        <f>'Safety - Veh'!O47</f>
        <v>63.629102320523288</v>
      </c>
      <c r="P26" s="81">
        <f>'Safety - Veh'!P47</f>
        <v>64.60659180893569</v>
      </c>
      <c r="Q26" s="81">
        <f>'Safety - Veh'!Q47</f>
        <v>65.584081297348092</v>
      </c>
      <c r="R26" s="81">
        <f>'Safety - Veh'!R47</f>
        <v>66.561570785760509</v>
      </c>
      <c r="S26" s="81">
        <f>'Safety - Veh'!S47</f>
        <v>67.539060274172911</v>
      </c>
      <c r="T26" s="81">
        <f>'Safety - Veh'!T47</f>
        <v>68.516549762585328</v>
      </c>
      <c r="U26" s="81">
        <f>'Safety - Veh'!U47</f>
        <v>69.49403925099773</v>
      </c>
      <c r="V26" s="81">
        <f>'Safety - Veh'!V47</f>
        <v>70.471528739410132</v>
      </c>
      <c r="W26" s="81">
        <f>'Safety - Veh'!W47</f>
        <v>71.449018227822521</v>
      </c>
      <c r="X26" s="81">
        <f>'Safety - Veh'!X47</f>
        <v>72.426507716234937</v>
      </c>
      <c r="Y26" s="81">
        <f>'Safety - Veh'!Y47</f>
        <v>73.403997204647339</v>
      </c>
      <c r="Z26" s="81">
        <f>'Safety - Veh'!Z47</f>
        <v>74.381486693059756</v>
      </c>
      <c r="AA26" s="81">
        <f>'Safety - Veh'!AA47</f>
        <v>75.358976181472158</v>
      </c>
      <c r="AB26" s="81">
        <f>'Safety - Veh'!AB47</f>
        <v>76.336465669884561</v>
      </c>
      <c r="AC26" s="81">
        <f>'Safety - Veh'!AC47</f>
        <v>77.313955158296963</v>
      </c>
      <c r="AD26" s="81">
        <f>'Safety - Veh'!AD47</f>
        <v>78.29144464670938</v>
      </c>
      <c r="AE26" s="81">
        <f>'Safety - Veh'!AE47</f>
        <v>79.268934135121782</v>
      </c>
      <c r="AF26" s="81">
        <f>'Safety - Veh'!AF47</f>
        <v>80.246423623534199</v>
      </c>
      <c r="AG26" s="81">
        <f>'Safety - Veh'!AG47</f>
        <v>81.223913111946601</v>
      </c>
      <c r="AH26" s="81">
        <f>'Safety - Veh'!AH47</f>
        <v>82.201402600359003</v>
      </c>
      <c r="AI26" s="81">
        <f>'Safety - Veh'!AI47</f>
        <v>83.17889208877142</v>
      </c>
      <c r="AJ26" s="81">
        <f>'Safety - Veh'!AJ47</f>
        <v>84.156381577183822</v>
      </c>
      <c r="AK26" s="81">
        <f>'Safety - Veh'!AK47</f>
        <v>85.133871065596225</v>
      </c>
      <c r="AL26" s="81">
        <f>'Safety - Veh'!AL47</f>
        <v>86.111360554008641</v>
      </c>
      <c r="AM26" s="81">
        <f>'Safety - Veh'!AM47</f>
        <v>87.088850042421029</v>
      </c>
      <c r="AN26" s="81">
        <f>'Safety - Veh'!AN47</f>
        <v>88.066339530833446</v>
      </c>
      <c r="AO26" s="81">
        <f>'Safety - Veh'!AO47</f>
        <v>89.043829019245862</v>
      </c>
      <c r="AP26" s="81">
        <f>'Safety - Veh'!AP47</f>
        <v>90.021318507658265</v>
      </c>
      <c r="AQ26" s="81">
        <f>'Safety - Veh'!AQ47</f>
        <v>90.998807996070667</v>
      </c>
      <c r="AR26" s="81">
        <f>'Safety - Veh'!AR47</f>
        <v>91.976297484483069</v>
      </c>
      <c r="AS26" s="81">
        <f>'Safety - Veh'!AS47</f>
        <v>92.953786972895472</v>
      </c>
    </row>
    <row r="27" spans="1:45">
      <c r="A27" s="26" t="str">
        <f>"PREFERRED (With "&amp;'BCA Summary'!$E$1&amp;") Vehicles involved in PDO Crashes"</f>
        <v>PREFERRED (With BUILD Grant) Vehicles involved in PDO Crashes</v>
      </c>
      <c r="B27" s="26"/>
      <c r="D27" s="82">
        <f>SUM(E27:AS27)</f>
        <v>1437.1262500585196</v>
      </c>
      <c r="E27" s="82">
        <f>'Safety - Veh'!E48</f>
        <v>53.854207436399207</v>
      </c>
      <c r="F27" s="82">
        <f>'Safety - Veh'!F48</f>
        <v>52.791718862037911</v>
      </c>
      <c r="G27" s="82">
        <f>'Safety - Veh'!G48</f>
        <v>53.854207436399207</v>
      </c>
      <c r="H27" s="82">
        <f>'Safety - Veh'!H48</f>
        <v>54.916696010760532</v>
      </c>
      <c r="I27" s="82">
        <f>'Safety - Veh'!I48</f>
        <v>57.764165390048838</v>
      </c>
      <c r="J27" s="82">
        <f>'Safety - Veh'!J48</f>
        <v>58.741654878461247</v>
      </c>
      <c r="K27" s="82">
        <f>'Safety - Veh'!K48</f>
        <v>59.71914436687365</v>
      </c>
      <c r="L27" s="82">
        <f>'Safety - Veh'!L48</f>
        <v>60.696633855286066</v>
      </c>
      <c r="M27" s="82">
        <f>'Safety - Veh'!M48</f>
        <v>61.674123343698469</v>
      </c>
      <c r="N27" s="82">
        <f>'Safety - Veh'!N48</f>
        <v>62.651612832110878</v>
      </c>
      <c r="O27" s="82">
        <f>'Safety - Veh'!O48</f>
        <v>63.629102320523288</v>
      </c>
      <c r="P27" s="82">
        <f>'Safety - Veh'!P48</f>
        <v>64.60659180893569</v>
      </c>
      <c r="Q27" s="82">
        <f>'Safety - Veh'!Q48</f>
        <v>65.584081297348092</v>
      </c>
      <c r="R27" s="82">
        <f>'Safety - Veh'!R48</f>
        <v>66.561570785760509</v>
      </c>
      <c r="S27" s="82">
        <f>'Safety - Veh'!S48</f>
        <v>67.539060274172911</v>
      </c>
      <c r="T27" s="82">
        <f>'Safety - Veh'!T48</f>
        <v>15.680265512618085</v>
      </c>
      <c r="U27" s="82">
        <f>'Safety - Veh'!U48</f>
        <v>16.076127198831252</v>
      </c>
      <c r="V27" s="82">
        <f>'Safety - Veh'!V48</f>
        <v>16.471988885044418</v>
      </c>
      <c r="W27" s="82">
        <f>'Safety - Veh'!W48</f>
        <v>16.867850571257588</v>
      </c>
      <c r="X27" s="82">
        <f>'Safety - Veh'!X48</f>
        <v>17.263712257470754</v>
      </c>
      <c r="Y27" s="82">
        <f>'Safety - Veh'!Y48</f>
        <v>17.659573943683924</v>
      </c>
      <c r="Z27" s="82">
        <f>'Safety - Veh'!Z48</f>
        <v>18.055435629897087</v>
      </c>
      <c r="AA27" s="82">
        <f>'Safety - Veh'!AA48</f>
        <v>18.451297316110253</v>
      </c>
      <c r="AB27" s="82">
        <f>'Safety - Veh'!AB48</f>
        <v>18.847159002323426</v>
      </c>
      <c r="AC27" s="82">
        <f>'Safety - Veh'!AC48</f>
        <v>19.243020688536593</v>
      </c>
      <c r="AD27" s="82">
        <f>'Safety - Veh'!AD48</f>
        <v>19.638882374749763</v>
      </c>
      <c r="AE27" s="82">
        <f>'Safety - Veh'!AE48</f>
        <v>20.00307512606587</v>
      </c>
      <c r="AF27" s="82">
        <f>'Safety - Veh'!AF48</f>
        <v>20.367267877381988</v>
      </c>
      <c r="AG27" s="82">
        <f>'Safety - Veh'!AG48</f>
        <v>20.731460628698102</v>
      </c>
      <c r="AH27" s="82">
        <f>'Safety - Veh'!AH48</f>
        <v>21.09565338001422</v>
      </c>
      <c r="AI27" s="82">
        <f>'Safety - Veh'!AI48</f>
        <v>21.45984613133033</v>
      </c>
      <c r="AJ27" s="82">
        <f>'Safety - Veh'!AJ48</f>
        <v>21.824038882646441</v>
      </c>
      <c r="AK27" s="82">
        <f>'Safety - Veh'!AK48</f>
        <v>22.188231633962559</v>
      </c>
      <c r="AL27" s="82">
        <f>'Safety - Veh'!AL48</f>
        <v>22.552424385278673</v>
      </c>
      <c r="AM27" s="82">
        <f>'Safety - Veh'!AM48</f>
        <v>22.916617136594787</v>
      </c>
      <c r="AN27" s="82">
        <f>'Safety - Veh'!AN48</f>
        <v>23.280809887910902</v>
      </c>
      <c r="AO27" s="82">
        <f>'Safety - Veh'!AO48</f>
        <v>23.645002639227016</v>
      </c>
      <c r="AP27" s="82">
        <f>'Safety - Veh'!AP48</f>
        <v>24.00919539054313</v>
      </c>
      <c r="AQ27" s="82">
        <f>'Safety - Veh'!AQ48</f>
        <v>24.373388141859241</v>
      </c>
      <c r="AR27" s="82">
        <f>'Safety - Veh'!AR48</f>
        <v>24.737580893175359</v>
      </c>
      <c r="AS27" s="82">
        <f>'Safety - Veh'!AS48</f>
        <v>25.101773644491473</v>
      </c>
    </row>
    <row r="28" spans="1:45">
      <c r="A28" s="39" t="s">
        <v>141</v>
      </c>
      <c r="B28" s="39"/>
      <c r="C28" s="40"/>
      <c r="D28" s="83">
        <f>SUM(E28:AS28)</f>
        <v>1566.5726984015471</v>
      </c>
      <c r="E28" s="83">
        <f>E26-E27</f>
        <v>0</v>
      </c>
      <c r="F28" s="83">
        <f t="shared" ref="F28:AF28" si="8">F26-F27</f>
        <v>0</v>
      </c>
      <c r="G28" s="83">
        <f t="shared" si="8"/>
        <v>0</v>
      </c>
      <c r="H28" s="83">
        <f t="shared" si="8"/>
        <v>0</v>
      </c>
      <c r="I28" s="83">
        <f t="shared" si="8"/>
        <v>0</v>
      </c>
      <c r="J28" s="83">
        <f t="shared" si="8"/>
        <v>0</v>
      </c>
      <c r="K28" s="83">
        <f t="shared" si="8"/>
        <v>0</v>
      </c>
      <c r="L28" s="83">
        <f t="shared" si="8"/>
        <v>0</v>
      </c>
      <c r="M28" s="83">
        <f t="shared" si="8"/>
        <v>0</v>
      </c>
      <c r="N28" s="83">
        <f t="shared" si="8"/>
        <v>0</v>
      </c>
      <c r="O28" s="83">
        <f t="shared" si="8"/>
        <v>0</v>
      </c>
      <c r="P28" s="83">
        <f t="shared" si="8"/>
        <v>0</v>
      </c>
      <c r="Q28" s="83">
        <f t="shared" si="8"/>
        <v>0</v>
      </c>
      <c r="R28" s="83">
        <f t="shared" si="8"/>
        <v>0</v>
      </c>
      <c r="S28" s="83">
        <f t="shared" si="8"/>
        <v>0</v>
      </c>
      <c r="T28" s="83">
        <f t="shared" si="8"/>
        <v>52.836284249967242</v>
      </c>
      <c r="U28" s="83">
        <f t="shared" si="8"/>
        <v>53.417912052166479</v>
      </c>
      <c r="V28" s="83">
        <f t="shared" si="8"/>
        <v>53.999539854365715</v>
      </c>
      <c r="W28" s="83">
        <f t="shared" si="8"/>
        <v>54.581167656564929</v>
      </c>
      <c r="X28" s="83">
        <f t="shared" si="8"/>
        <v>55.16279545876418</v>
      </c>
      <c r="Y28" s="83">
        <f t="shared" si="8"/>
        <v>55.744423260963416</v>
      </c>
      <c r="Z28" s="83">
        <f t="shared" si="8"/>
        <v>56.326051063162666</v>
      </c>
      <c r="AA28" s="83">
        <f t="shared" si="8"/>
        <v>56.907678865361902</v>
      </c>
      <c r="AB28" s="83">
        <f t="shared" si="8"/>
        <v>57.489306667561138</v>
      </c>
      <c r="AC28" s="83">
        <f t="shared" si="8"/>
        <v>58.070934469760374</v>
      </c>
      <c r="AD28" s="83">
        <f t="shared" si="8"/>
        <v>58.652562271959617</v>
      </c>
      <c r="AE28" s="83">
        <f t="shared" si="8"/>
        <v>59.265859009055916</v>
      </c>
      <c r="AF28" s="83">
        <f t="shared" si="8"/>
        <v>59.879155746152207</v>
      </c>
      <c r="AG28" s="83">
        <f t="shared" ref="AG28:AH28" si="9">AG26-AG27</f>
        <v>60.492452483248499</v>
      </c>
      <c r="AH28" s="83">
        <f t="shared" si="9"/>
        <v>61.105749220344784</v>
      </c>
      <c r="AI28" s="83">
        <f t="shared" ref="AI28:AR28" si="10">AI26-AI27</f>
        <v>61.719045957441089</v>
      </c>
      <c r="AJ28" s="83">
        <f t="shared" si="10"/>
        <v>62.332342694537381</v>
      </c>
      <c r="AK28" s="83">
        <f t="shared" si="10"/>
        <v>62.945639431633666</v>
      </c>
      <c r="AL28" s="83">
        <f t="shared" si="10"/>
        <v>63.558936168729971</v>
      </c>
      <c r="AM28" s="83">
        <f t="shared" si="10"/>
        <v>64.172232905826235</v>
      </c>
      <c r="AN28" s="83">
        <f t="shared" si="10"/>
        <v>64.78552964292254</v>
      </c>
      <c r="AO28" s="83">
        <f t="shared" si="10"/>
        <v>65.398826380018846</v>
      </c>
      <c r="AP28" s="83">
        <f t="shared" si="10"/>
        <v>66.012123117115138</v>
      </c>
      <c r="AQ28" s="83">
        <f t="shared" si="10"/>
        <v>66.62541985421143</v>
      </c>
      <c r="AR28" s="83">
        <f t="shared" si="10"/>
        <v>67.238716591307707</v>
      </c>
      <c r="AS28" s="83">
        <f t="shared" ref="AS28" si="11">AS26-AS27</f>
        <v>67.852013328403999</v>
      </c>
    </row>
    <row r="30" spans="1:45" ht="18" thickBot="1">
      <c r="A30" s="17" t="s">
        <v>89</v>
      </c>
      <c r="B30" s="17"/>
      <c r="C30" s="17"/>
      <c r="D30" s="17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</row>
    <row r="31" spans="1:45" ht="14" thickTop="1">
      <c r="A31" s="37" t="str">
        <f>"BASELINE (No "&amp;'BCA Summary'!$E$1&amp;") Fatalities"</f>
        <v>BASELINE (No BUILD Grant) Fatalities</v>
      </c>
      <c r="B31" s="37"/>
      <c r="C31" s="38"/>
      <c r="D31" s="81">
        <f>SUM(E31:AS31)</f>
        <v>0.33863132098652654</v>
      </c>
      <c r="E31" s="108">
        <f>'Safety - Railroad'!F32</f>
        <v>7.5540333074744469E-3</v>
      </c>
      <c r="F31" s="108">
        <f>'Safety - Railroad'!G32</f>
        <v>7.5540333074744469E-3</v>
      </c>
      <c r="G31" s="108">
        <f>'Safety - Railroad'!H32</f>
        <v>7.6970528709550314E-3</v>
      </c>
      <c r="H31" s="108">
        <f>'Safety - Railroad'!I32</f>
        <v>7.7620617634462045E-3</v>
      </c>
      <c r="I31" s="108">
        <f>'Safety - Railroad'!J32</f>
        <v>7.7620617634462045E-3</v>
      </c>
      <c r="J31" s="108">
        <f>'Safety - Railroad'!K32</f>
        <v>7.8270706559373793E-3</v>
      </c>
      <c r="K31" s="108">
        <f>'Safety - Railroad'!L32</f>
        <v>7.8270706559373793E-3</v>
      </c>
      <c r="L31" s="108">
        <f>'Safety - Railroad'!M32</f>
        <v>7.8790777699303191E-3</v>
      </c>
      <c r="M31" s="108">
        <f>'Safety - Railroad'!N32</f>
        <v>7.8790777699303191E-3</v>
      </c>
      <c r="N31" s="108">
        <f>'Safety - Railroad'!O32</f>
        <v>7.9310848839232572E-3</v>
      </c>
      <c r="O31" s="108">
        <f>'Safety - Railroad'!P32</f>
        <v>7.9310848839232572E-3</v>
      </c>
      <c r="P31" s="108">
        <f>'Safety - Railroad'!Q32</f>
        <v>7.983091997916197E-3</v>
      </c>
      <c r="Q31" s="108">
        <f>'Safety - Railroad'!R32</f>
        <v>8.0611026689056068E-3</v>
      </c>
      <c r="R31" s="108">
        <f>'Safety - Railroad'!S32</f>
        <v>8.1131097828985449E-3</v>
      </c>
      <c r="S31" s="108">
        <f>'Safety - Railroad'!T32</f>
        <v>8.1131097828985449E-3</v>
      </c>
      <c r="T31" s="108">
        <f>'Safety - Railroad'!U32</f>
        <v>8.1131097828985449E-3</v>
      </c>
      <c r="U31" s="108">
        <f>'Safety - Railroad'!V32</f>
        <v>8.1651168968914847E-3</v>
      </c>
      <c r="V31" s="108">
        <f>'Safety - Railroad'!W32</f>
        <v>8.1651168968914847E-3</v>
      </c>
      <c r="W31" s="108">
        <f>'Safety - Railroad'!X32</f>
        <v>8.2171240108844246E-3</v>
      </c>
      <c r="X31" s="108">
        <f>'Safety - Railroad'!Y32</f>
        <v>8.2171240108844246E-3</v>
      </c>
      <c r="Y31" s="108">
        <f>'Safety - Railroad'!Z32</f>
        <v>8.2691311248773644E-3</v>
      </c>
      <c r="Z31" s="108">
        <f>'Safety - Railroad'!AA32</f>
        <v>8.2691311248773644E-3</v>
      </c>
      <c r="AA31" s="108">
        <f>'Safety - Railroad'!AB32</f>
        <v>8.3471417958667742E-3</v>
      </c>
      <c r="AB31" s="108">
        <f>'Safety - Railroad'!AC32</f>
        <v>8.399148909859714E-3</v>
      </c>
      <c r="AC31" s="108">
        <f>'Safety - Railroad'!AD32</f>
        <v>8.399148909859714E-3</v>
      </c>
      <c r="AD31" s="108">
        <f>'Safety - Railroad'!AE32</f>
        <v>8.4511560238526538E-3</v>
      </c>
      <c r="AE31" s="108">
        <f>'Safety - Railroad'!AF32</f>
        <v>8.4511560238526538E-3</v>
      </c>
      <c r="AF31" s="108">
        <f>'Safety - Railroad'!AG32</f>
        <v>8.4511560238526538E-3</v>
      </c>
      <c r="AG31" s="108">
        <f>'Safety - Railroad'!AH32</f>
        <v>8.5031631378455919E-3</v>
      </c>
      <c r="AH31" s="108">
        <f>'Safety - Railroad'!AI32</f>
        <v>8.5031631378455919E-3</v>
      </c>
      <c r="AI31" s="108">
        <f>'Safety - Railroad'!AJ32</f>
        <v>8.5681720303367667E-3</v>
      </c>
      <c r="AJ31" s="108">
        <f>'Safety - Railroad'!AK32</f>
        <v>8.5681720303367667E-3</v>
      </c>
      <c r="AK31" s="108">
        <f>'Safety - Railroad'!AL32</f>
        <v>8.5681720303367667E-3</v>
      </c>
      <c r="AL31" s="108">
        <f>'Safety - Railroad'!AM32</f>
        <v>8.6331809228279398E-3</v>
      </c>
      <c r="AM31" s="108">
        <f>'Safety - Railroad'!AN32</f>
        <v>8.7111915938173495E-3</v>
      </c>
      <c r="AN31" s="108">
        <f>'Safety - Railroad'!AO32</f>
        <v>8.7111915938173495E-3</v>
      </c>
      <c r="AO31" s="108">
        <f>'Safety - Railroad'!AP32</f>
        <v>8.7762004863085261E-3</v>
      </c>
      <c r="AP31" s="108">
        <f>'Safety - Railroad'!AQ32</f>
        <v>8.7762004863085261E-3</v>
      </c>
      <c r="AQ31" s="108">
        <f>'Safety - Railroad'!AR32</f>
        <v>8.8412093787996991E-3</v>
      </c>
      <c r="AR31" s="108">
        <f>'Safety - Railroad'!AS32</f>
        <v>8.8412093787996991E-3</v>
      </c>
      <c r="AS31" s="108">
        <f>'Safety - Railroad'!AT32</f>
        <v>8.8412093787996991E-3</v>
      </c>
    </row>
    <row r="32" spans="1:45">
      <c r="A32" s="26" t="str">
        <f>"PREFERRED (With "&amp;'BCA Summary'!$E$1&amp;") Fatalities"</f>
        <v>PREFERRED (With BUILD Grant) Fatalities</v>
      </c>
      <c r="B32" s="26"/>
      <c r="D32" s="82">
        <f>SUM(E32:AS32)</f>
        <v>0.11787412386499714</v>
      </c>
      <c r="E32" s="105">
        <f>'Safety - Railroad'!F33</f>
        <v>7.5540333074744469E-3</v>
      </c>
      <c r="F32" s="105">
        <f>'Safety - Railroad'!G33</f>
        <v>7.5540333074744469E-3</v>
      </c>
      <c r="G32" s="105">
        <f>'Safety - Railroad'!H33</f>
        <v>7.6970528709550314E-3</v>
      </c>
      <c r="H32" s="105">
        <f>'Safety - Railroad'!I33</f>
        <v>7.7620617634462045E-3</v>
      </c>
      <c r="I32" s="105">
        <f>'Safety - Railroad'!J33</f>
        <v>7.7620617634462045E-3</v>
      </c>
      <c r="J32" s="105">
        <f>'Safety - Railroad'!K33</f>
        <v>7.8270706559373793E-3</v>
      </c>
      <c r="K32" s="105">
        <f>'Safety - Railroad'!L33</f>
        <v>7.8270706559373793E-3</v>
      </c>
      <c r="L32" s="105">
        <f>'Safety - Railroad'!M33</f>
        <v>7.8790777699303191E-3</v>
      </c>
      <c r="M32" s="105">
        <f>'Safety - Railroad'!N33</f>
        <v>7.8790777699303191E-3</v>
      </c>
      <c r="N32" s="105">
        <f>'Safety - Railroad'!O33</f>
        <v>7.9310848839232572E-3</v>
      </c>
      <c r="O32" s="105">
        <f>'Safety - Railroad'!P33</f>
        <v>7.9310848839232572E-3</v>
      </c>
      <c r="P32" s="105">
        <f>'Safety - Railroad'!Q33</f>
        <v>7.983091997916197E-3</v>
      </c>
      <c r="Q32" s="105">
        <f>'Safety - Railroad'!R33</f>
        <v>8.0611026689056068E-3</v>
      </c>
      <c r="R32" s="105">
        <f>'Safety - Railroad'!S33</f>
        <v>8.1131097828985449E-3</v>
      </c>
      <c r="S32" s="105">
        <f>'Safety - Railroad'!T33</f>
        <v>8.1131097828985449E-3</v>
      </c>
      <c r="T32" s="105">
        <f>'Safety - Railroad'!U33</f>
        <v>0</v>
      </c>
      <c r="U32" s="105">
        <f>'Safety - Railroad'!V33</f>
        <v>0</v>
      </c>
      <c r="V32" s="105">
        <f>'Safety - Railroad'!W33</f>
        <v>0</v>
      </c>
      <c r="W32" s="105">
        <f>'Safety - Railroad'!X33</f>
        <v>0</v>
      </c>
      <c r="X32" s="105">
        <f>'Safety - Railroad'!Y33</f>
        <v>0</v>
      </c>
      <c r="Y32" s="105">
        <f>'Safety - Railroad'!Z33</f>
        <v>0</v>
      </c>
      <c r="Z32" s="105">
        <f>'Safety - Railroad'!AA33</f>
        <v>0</v>
      </c>
      <c r="AA32" s="105">
        <f>'Safety - Railroad'!AB33</f>
        <v>0</v>
      </c>
      <c r="AB32" s="105">
        <f>'Safety - Railroad'!AC33</f>
        <v>0</v>
      </c>
      <c r="AC32" s="105">
        <f>'Safety - Railroad'!AD33</f>
        <v>0</v>
      </c>
      <c r="AD32" s="105">
        <f>'Safety - Railroad'!AE33</f>
        <v>0</v>
      </c>
      <c r="AE32" s="105">
        <f>'Safety - Railroad'!AF33</f>
        <v>0</v>
      </c>
      <c r="AF32" s="105">
        <f>'Safety - Railroad'!AG33</f>
        <v>0</v>
      </c>
      <c r="AG32" s="105">
        <f>'Safety - Railroad'!AH33</f>
        <v>0</v>
      </c>
      <c r="AH32" s="105">
        <f>'Safety - Railroad'!AI33</f>
        <v>0</v>
      </c>
      <c r="AI32" s="105">
        <f>'Safety - Railroad'!AJ33</f>
        <v>0</v>
      </c>
      <c r="AJ32" s="105">
        <f>'Safety - Railroad'!AK33</f>
        <v>0</v>
      </c>
      <c r="AK32" s="105">
        <f>'Safety - Railroad'!AL33</f>
        <v>0</v>
      </c>
      <c r="AL32" s="105">
        <f>'Safety - Railroad'!AM33</f>
        <v>0</v>
      </c>
      <c r="AM32" s="105">
        <f>'Safety - Railroad'!AN33</f>
        <v>0</v>
      </c>
      <c r="AN32" s="105">
        <f>'Safety - Railroad'!AO33</f>
        <v>0</v>
      </c>
      <c r="AO32" s="105">
        <f>'Safety - Railroad'!AP33</f>
        <v>0</v>
      </c>
      <c r="AP32" s="105">
        <f>'Safety - Railroad'!AQ33</f>
        <v>0</v>
      </c>
      <c r="AQ32" s="105">
        <f>'Safety - Railroad'!AR33</f>
        <v>0</v>
      </c>
      <c r="AR32" s="105">
        <f>'Safety - Railroad'!AS33</f>
        <v>0</v>
      </c>
      <c r="AS32" s="105">
        <f>'Safety - Railroad'!AT33</f>
        <v>0</v>
      </c>
    </row>
    <row r="33" spans="1:45">
      <c r="A33" s="39" t="s">
        <v>139</v>
      </c>
      <c r="B33" s="39"/>
      <c r="C33" s="40"/>
      <c r="D33" s="83">
        <f>SUM(E33:AS33)</f>
        <v>0.22075719712152955</v>
      </c>
      <c r="E33" s="104">
        <f>E31-E32</f>
        <v>0</v>
      </c>
      <c r="F33" s="104">
        <f t="shared" ref="F33:AF33" si="12">F31-F32</f>
        <v>0</v>
      </c>
      <c r="G33" s="104">
        <f t="shared" si="12"/>
        <v>0</v>
      </c>
      <c r="H33" s="104">
        <f t="shared" si="12"/>
        <v>0</v>
      </c>
      <c r="I33" s="104">
        <f t="shared" si="12"/>
        <v>0</v>
      </c>
      <c r="J33" s="104">
        <f t="shared" si="12"/>
        <v>0</v>
      </c>
      <c r="K33" s="104">
        <f t="shared" si="12"/>
        <v>0</v>
      </c>
      <c r="L33" s="104">
        <f t="shared" si="12"/>
        <v>0</v>
      </c>
      <c r="M33" s="104">
        <f t="shared" si="12"/>
        <v>0</v>
      </c>
      <c r="N33" s="104">
        <f t="shared" si="12"/>
        <v>0</v>
      </c>
      <c r="O33" s="104">
        <f t="shared" si="12"/>
        <v>0</v>
      </c>
      <c r="P33" s="104">
        <f t="shared" si="12"/>
        <v>0</v>
      </c>
      <c r="Q33" s="104">
        <f t="shared" si="12"/>
        <v>0</v>
      </c>
      <c r="R33" s="104">
        <f t="shared" si="12"/>
        <v>0</v>
      </c>
      <c r="S33" s="104">
        <f t="shared" si="12"/>
        <v>0</v>
      </c>
      <c r="T33" s="104">
        <f t="shared" si="12"/>
        <v>8.1131097828985449E-3</v>
      </c>
      <c r="U33" s="104">
        <f t="shared" si="12"/>
        <v>8.1651168968914847E-3</v>
      </c>
      <c r="V33" s="104">
        <f t="shared" si="12"/>
        <v>8.1651168968914847E-3</v>
      </c>
      <c r="W33" s="104">
        <f t="shared" si="12"/>
        <v>8.2171240108844246E-3</v>
      </c>
      <c r="X33" s="104">
        <f t="shared" si="12"/>
        <v>8.2171240108844246E-3</v>
      </c>
      <c r="Y33" s="104">
        <f t="shared" si="12"/>
        <v>8.2691311248773644E-3</v>
      </c>
      <c r="Z33" s="104">
        <f t="shared" si="12"/>
        <v>8.2691311248773644E-3</v>
      </c>
      <c r="AA33" s="104">
        <f t="shared" si="12"/>
        <v>8.3471417958667742E-3</v>
      </c>
      <c r="AB33" s="104">
        <f t="shared" si="12"/>
        <v>8.399148909859714E-3</v>
      </c>
      <c r="AC33" s="104">
        <f t="shared" si="12"/>
        <v>8.399148909859714E-3</v>
      </c>
      <c r="AD33" s="104">
        <f t="shared" si="12"/>
        <v>8.4511560238526538E-3</v>
      </c>
      <c r="AE33" s="104">
        <f t="shared" si="12"/>
        <v>8.4511560238526538E-3</v>
      </c>
      <c r="AF33" s="104">
        <f t="shared" si="12"/>
        <v>8.4511560238526538E-3</v>
      </c>
      <c r="AG33" s="104">
        <f t="shared" ref="AG33:AH33" si="13">AG31-AG32</f>
        <v>8.5031631378455919E-3</v>
      </c>
      <c r="AH33" s="104">
        <f t="shared" si="13"/>
        <v>8.5031631378455919E-3</v>
      </c>
      <c r="AI33" s="104">
        <f t="shared" ref="AI33:AR33" si="14">AI31-AI32</f>
        <v>8.5681720303367667E-3</v>
      </c>
      <c r="AJ33" s="104">
        <f t="shared" si="14"/>
        <v>8.5681720303367667E-3</v>
      </c>
      <c r="AK33" s="104">
        <f t="shared" si="14"/>
        <v>8.5681720303367667E-3</v>
      </c>
      <c r="AL33" s="104">
        <f t="shared" si="14"/>
        <v>8.6331809228279398E-3</v>
      </c>
      <c r="AM33" s="104">
        <f t="shared" si="14"/>
        <v>8.7111915938173495E-3</v>
      </c>
      <c r="AN33" s="104">
        <f t="shared" si="14"/>
        <v>8.7111915938173495E-3</v>
      </c>
      <c r="AO33" s="104">
        <f t="shared" si="14"/>
        <v>8.7762004863085261E-3</v>
      </c>
      <c r="AP33" s="104">
        <f t="shared" si="14"/>
        <v>8.7762004863085261E-3</v>
      </c>
      <c r="AQ33" s="104">
        <f t="shared" si="14"/>
        <v>8.8412093787996991E-3</v>
      </c>
      <c r="AR33" s="104">
        <f t="shared" si="14"/>
        <v>8.8412093787996991E-3</v>
      </c>
      <c r="AS33" s="104">
        <f t="shared" ref="AS33" si="15">AS31-AS32</f>
        <v>8.8412093787996991E-3</v>
      </c>
    </row>
    <row r="34" spans="1:45">
      <c r="A34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</row>
    <row r="35" spans="1:45">
      <c r="A35" s="37" t="str">
        <f>"BASELINE (No "&amp;'BCA Summary'!$E$1&amp;") Injuries"</f>
        <v>BASELINE (No BUILD Grant) Injuries</v>
      </c>
      <c r="B35" s="37"/>
      <c r="C35" s="38"/>
      <c r="D35" s="81">
        <f>SUM(E35:AS35)</f>
        <v>0.77873896722505498</v>
      </c>
      <c r="E35" s="108">
        <f>'Safety - Railroad'!F36</f>
        <v>1.7370063110231912E-2</v>
      </c>
      <c r="F35" s="108">
        <f>'Safety - Railroad'!G36</f>
        <v>1.7370063110231912E-2</v>
      </c>
      <c r="G35" s="108">
        <f>'Safety - Railroad'!H36</f>
        <v>1.7691961268499756E-2</v>
      </c>
      <c r="H35" s="108">
        <f>'Safety - Railroad'!I36</f>
        <v>1.7844515692148365E-2</v>
      </c>
      <c r="I35" s="108">
        <f>'Safety - Railroad'!J36</f>
        <v>1.7844515692148365E-2</v>
      </c>
      <c r="J35" s="108">
        <f>'Safety - Railroad'!K36</f>
        <v>1.7997070115796977E-2</v>
      </c>
      <c r="K35" s="108">
        <f>'Safety - Railroad'!L36</f>
        <v>1.7997070115796977E-2</v>
      </c>
      <c r="L35" s="108">
        <f>'Safety - Railroad'!M36</f>
        <v>1.8119113654715864E-2</v>
      </c>
      <c r="M35" s="108">
        <f>'Safety - Railroad'!N36</f>
        <v>1.8119113654715864E-2</v>
      </c>
      <c r="N35" s="108">
        <f>'Safety - Railroad'!O36</f>
        <v>1.8241157193634751E-2</v>
      </c>
      <c r="O35" s="108">
        <f>'Safety - Railroad'!P36</f>
        <v>1.8241157193634751E-2</v>
      </c>
      <c r="P35" s="108">
        <f>'Safety - Railroad'!Q36</f>
        <v>1.8363200732553642E-2</v>
      </c>
      <c r="Q35" s="108">
        <f>'Safety - Railroad'!R36</f>
        <v>1.8532544467172871E-2</v>
      </c>
      <c r="R35" s="108">
        <f>'Safety - Railroad'!S36</f>
        <v>1.8654588006091762E-2</v>
      </c>
      <c r="S35" s="108">
        <f>'Safety - Railroad'!T36</f>
        <v>1.8654588006091762E-2</v>
      </c>
      <c r="T35" s="108">
        <f>'Safety - Railroad'!U36</f>
        <v>1.8654588006091762E-2</v>
      </c>
      <c r="U35" s="108">
        <f>'Safety - Railroad'!V36</f>
        <v>1.877663154501065E-2</v>
      </c>
      <c r="V35" s="108">
        <f>'Safety - Railroad'!W36</f>
        <v>1.877663154501065E-2</v>
      </c>
      <c r="W35" s="108">
        <f>'Safety - Railroad'!X36</f>
        <v>1.8898675083929537E-2</v>
      </c>
      <c r="X35" s="108">
        <f>'Safety - Railroad'!Y36</f>
        <v>1.8898675083929537E-2</v>
      </c>
      <c r="Y35" s="108">
        <f>'Safety - Railroad'!Z36</f>
        <v>1.9020718622848428E-2</v>
      </c>
      <c r="Z35" s="108">
        <f>'Safety - Railroad'!AA36</f>
        <v>1.9020718622848428E-2</v>
      </c>
      <c r="AA35" s="108">
        <f>'Safety - Railroad'!AB36</f>
        <v>1.919006235746766E-2</v>
      </c>
      <c r="AB35" s="108">
        <f>'Safety - Railroad'!AC36</f>
        <v>1.9312105896386548E-2</v>
      </c>
      <c r="AC35" s="108">
        <f>'Safety - Railroad'!AD36</f>
        <v>1.9312105896386548E-2</v>
      </c>
      <c r="AD35" s="108">
        <f>'Safety - Railroad'!AE36</f>
        <v>1.9434149435305435E-2</v>
      </c>
      <c r="AE35" s="108">
        <f>'Safety - Railroad'!AF36</f>
        <v>1.9434149435305435E-2</v>
      </c>
      <c r="AF35" s="108">
        <f>'Safety - Railroad'!AG36</f>
        <v>1.9434149435305435E-2</v>
      </c>
      <c r="AG35" s="108">
        <f>'Safety - Railroad'!AH36</f>
        <v>1.9556192974224326E-2</v>
      </c>
      <c r="AH35" s="108">
        <f>'Safety - Railroad'!AI36</f>
        <v>1.9556192974224326E-2</v>
      </c>
      <c r="AI35" s="108">
        <f>'Safety - Railroad'!AJ36</f>
        <v>1.9708747397872935E-2</v>
      </c>
      <c r="AJ35" s="108">
        <f>'Safety - Railroad'!AK36</f>
        <v>1.9708747397872935E-2</v>
      </c>
      <c r="AK35" s="108">
        <f>'Safety - Railroad'!AL36</f>
        <v>1.9708747397872935E-2</v>
      </c>
      <c r="AL35" s="108">
        <f>'Safety - Railroad'!AM36</f>
        <v>1.9861301821521547E-2</v>
      </c>
      <c r="AM35" s="108">
        <f>'Safety - Railroad'!AN36</f>
        <v>2.0030645556140779E-2</v>
      </c>
      <c r="AN35" s="108">
        <f>'Safety - Railroad'!AO36</f>
        <v>2.0030645556140779E-2</v>
      </c>
      <c r="AO35" s="108">
        <f>'Safety - Railroad'!AP36</f>
        <v>2.0183199979789391E-2</v>
      </c>
      <c r="AP35" s="108">
        <f>'Safety - Railroad'!AQ36</f>
        <v>2.0183199979789391E-2</v>
      </c>
      <c r="AQ35" s="108">
        <f>'Safety - Railroad'!AR36</f>
        <v>2.0335754403437999E-2</v>
      </c>
      <c r="AR35" s="108">
        <f>'Safety - Railroad'!AS36</f>
        <v>2.0335754403437999E-2</v>
      </c>
      <c r="AS35" s="108">
        <f>'Safety - Railroad'!AT36</f>
        <v>2.0335754403437999E-2</v>
      </c>
    </row>
    <row r="36" spans="1:45">
      <c r="A36" s="26" t="str">
        <f>"PREFERRED (With "&amp;'BCA Summary'!$E$1&amp;") Injuries"</f>
        <v>PREFERRED (With BUILD Grant) Injuries</v>
      </c>
      <c r="B36" s="26"/>
      <c r="D36" s="82">
        <f>SUM(E36:AS36)</f>
        <v>0.27104072201346552</v>
      </c>
      <c r="E36" s="105">
        <f>'Safety - Railroad'!F37</f>
        <v>1.7370063110231912E-2</v>
      </c>
      <c r="F36" s="105">
        <f>'Safety - Railroad'!G37</f>
        <v>1.7370063110231912E-2</v>
      </c>
      <c r="G36" s="105">
        <f>'Safety - Railroad'!H37</f>
        <v>1.7691961268499756E-2</v>
      </c>
      <c r="H36" s="105">
        <f>'Safety - Railroad'!I37</f>
        <v>1.7844515692148365E-2</v>
      </c>
      <c r="I36" s="105">
        <f>'Safety - Railroad'!J37</f>
        <v>1.7844515692148365E-2</v>
      </c>
      <c r="J36" s="105">
        <f>'Safety - Railroad'!K37</f>
        <v>1.7997070115796977E-2</v>
      </c>
      <c r="K36" s="105">
        <f>'Safety - Railroad'!L37</f>
        <v>1.7997070115796977E-2</v>
      </c>
      <c r="L36" s="105">
        <f>'Safety - Railroad'!M37</f>
        <v>1.8119113654715864E-2</v>
      </c>
      <c r="M36" s="105">
        <f>'Safety - Railroad'!N37</f>
        <v>1.8119113654715864E-2</v>
      </c>
      <c r="N36" s="105">
        <f>'Safety - Railroad'!O37</f>
        <v>1.8241157193634751E-2</v>
      </c>
      <c r="O36" s="105">
        <f>'Safety - Railroad'!P37</f>
        <v>1.8241157193634751E-2</v>
      </c>
      <c r="P36" s="105">
        <f>'Safety - Railroad'!Q37</f>
        <v>1.8363200732553642E-2</v>
      </c>
      <c r="Q36" s="105">
        <f>'Safety - Railroad'!R37</f>
        <v>1.8532544467172871E-2</v>
      </c>
      <c r="R36" s="105">
        <f>'Safety - Railroad'!S37</f>
        <v>1.8654588006091762E-2</v>
      </c>
      <c r="S36" s="105">
        <f>'Safety - Railroad'!T37</f>
        <v>1.8654588006091762E-2</v>
      </c>
      <c r="T36" s="105">
        <f>'Safety - Railroad'!U37</f>
        <v>0</v>
      </c>
      <c r="U36" s="105">
        <f>'Safety - Railroad'!V37</f>
        <v>0</v>
      </c>
      <c r="V36" s="105">
        <f>'Safety - Railroad'!W37</f>
        <v>0</v>
      </c>
      <c r="W36" s="105">
        <f>'Safety - Railroad'!X37</f>
        <v>0</v>
      </c>
      <c r="X36" s="105">
        <f>'Safety - Railroad'!Y37</f>
        <v>0</v>
      </c>
      <c r="Y36" s="105">
        <f>'Safety - Railroad'!Z37</f>
        <v>0</v>
      </c>
      <c r="Z36" s="105">
        <f>'Safety - Railroad'!AA37</f>
        <v>0</v>
      </c>
      <c r="AA36" s="105">
        <f>'Safety - Railroad'!AB37</f>
        <v>0</v>
      </c>
      <c r="AB36" s="105">
        <f>'Safety - Railroad'!AC37</f>
        <v>0</v>
      </c>
      <c r="AC36" s="105">
        <f>'Safety - Railroad'!AD37</f>
        <v>0</v>
      </c>
      <c r="AD36" s="105">
        <f>'Safety - Railroad'!AE37</f>
        <v>0</v>
      </c>
      <c r="AE36" s="105">
        <f>'Safety - Railroad'!AF37</f>
        <v>0</v>
      </c>
      <c r="AF36" s="105">
        <f>'Safety - Railroad'!AG37</f>
        <v>0</v>
      </c>
      <c r="AG36" s="105">
        <f>'Safety - Railroad'!AH37</f>
        <v>0</v>
      </c>
      <c r="AH36" s="105">
        <f>'Safety - Railroad'!AI37</f>
        <v>0</v>
      </c>
      <c r="AI36" s="105">
        <f>'Safety - Railroad'!AJ37</f>
        <v>0</v>
      </c>
      <c r="AJ36" s="105">
        <f>'Safety - Railroad'!AK37</f>
        <v>0</v>
      </c>
      <c r="AK36" s="105">
        <f>'Safety - Railroad'!AL37</f>
        <v>0</v>
      </c>
      <c r="AL36" s="105">
        <f>'Safety - Railroad'!AM37</f>
        <v>0</v>
      </c>
      <c r="AM36" s="105">
        <f>'Safety - Railroad'!AN37</f>
        <v>0</v>
      </c>
      <c r="AN36" s="105">
        <f>'Safety - Railroad'!AO37</f>
        <v>0</v>
      </c>
      <c r="AO36" s="105">
        <f>'Safety - Railroad'!AP37</f>
        <v>0</v>
      </c>
      <c r="AP36" s="105">
        <f>'Safety - Railroad'!AQ37</f>
        <v>0</v>
      </c>
      <c r="AQ36" s="105">
        <f>'Safety - Railroad'!AR37</f>
        <v>0</v>
      </c>
      <c r="AR36" s="105">
        <f>'Safety - Railroad'!AS37</f>
        <v>0</v>
      </c>
      <c r="AS36" s="105">
        <f>'Safety - Railroad'!AT37</f>
        <v>0</v>
      </c>
    </row>
    <row r="37" spans="1:45">
      <c r="A37" s="39" t="s">
        <v>140</v>
      </c>
      <c r="B37" s="39"/>
      <c r="C37" s="40"/>
      <c r="D37" s="83">
        <f>SUM(E37:AS37)</f>
        <v>0.50769824521158935</v>
      </c>
      <c r="E37" s="104">
        <f>E35-E36</f>
        <v>0</v>
      </c>
      <c r="F37" s="104">
        <f t="shared" ref="F37:AF37" si="16">F35-F36</f>
        <v>0</v>
      </c>
      <c r="G37" s="104">
        <f t="shared" si="16"/>
        <v>0</v>
      </c>
      <c r="H37" s="104">
        <f t="shared" si="16"/>
        <v>0</v>
      </c>
      <c r="I37" s="104">
        <f t="shared" si="16"/>
        <v>0</v>
      </c>
      <c r="J37" s="104">
        <f t="shared" si="16"/>
        <v>0</v>
      </c>
      <c r="K37" s="104">
        <f t="shared" si="16"/>
        <v>0</v>
      </c>
      <c r="L37" s="104">
        <f t="shared" si="16"/>
        <v>0</v>
      </c>
      <c r="M37" s="104">
        <f t="shared" si="16"/>
        <v>0</v>
      </c>
      <c r="N37" s="104">
        <f t="shared" si="16"/>
        <v>0</v>
      </c>
      <c r="O37" s="104">
        <f t="shared" si="16"/>
        <v>0</v>
      </c>
      <c r="P37" s="104">
        <f t="shared" si="16"/>
        <v>0</v>
      </c>
      <c r="Q37" s="104">
        <f t="shared" si="16"/>
        <v>0</v>
      </c>
      <c r="R37" s="104">
        <f t="shared" si="16"/>
        <v>0</v>
      </c>
      <c r="S37" s="104">
        <f t="shared" si="16"/>
        <v>0</v>
      </c>
      <c r="T37" s="104">
        <f t="shared" si="16"/>
        <v>1.8654588006091762E-2</v>
      </c>
      <c r="U37" s="104">
        <f t="shared" si="16"/>
        <v>1.877663154501065E-2</v>
      </c>
      <c r="V37" s="104">
        <f t="shared" si="16"/>
        <v>1.877663154501065E-2</v>
      </c>
      <c r="W37" s="104">
        <f t="shared" si="16"/>
        <v>1.8898675083929537E-2</v>
      </c>
      <c r="X37" s="104">
        <f t="shared" si="16"/>
        <v>1.8898675083929537E-2</v>
      </c>
      <c r="Y37" s="104">
        <f t="shared" si="16"/>
        <v>1.9020718622848428E-2</v>
      </c>
      <c r="Z37" s="104">
        <f t="shared" si="16"/>
        <v>1.9020718622848428E-2</v>
      </c>
      <c r="AA37" s="104">
        <f t="shared" si="16"/>
        <v>1.919006235746766E-2</v>
      </c>
      <c r="AB37" s="104">
        <f t="shared" si="16"/>
        <v>1.9312105896386548E-2</v>
      </c>
      <c r="AC37" s="104">
        <f t="shared" si="16"/>
        <v>1.9312105896386548E-2</v>
      </c>
      <c r="AD37" s="104">
        <f t="shared" si="16"/>
        <v>1.9434149435305435E-2</v>
      </c>
      <c r="AE37" s="104">
        <f t="shared" si="16"/>
        <v>1.9434149435305435E-2</v>
      </c>
      <c r="AF37" s="104">
        <f t="shared" si="16"/>
        <v>1.9434149435305435E-2</v>
      </c>
      <c r="AG37" s="104">
        <f t="shared" ref="AG37:AH37" si="17">AG35-AG36</f>
        <v>1.9556192974224326E-2</v>
      </c>
      <c r="AH37" s="104">
        <f t="shared" si="17"/>
        <v>1.9556192974224326E-2</v>
      </c>
      <c r="AI37" s="104">
        <f t="shared" ref="AI37:AR37" si="18">AI35-AI36</f>
        <v>1.9708747397872935E-2</v>
      </c>
      <c r="AJ37" s="104">
        <f t="shared" si="18"/>
        <v>1.9708747397872935E-2</v>
      </c>
      <c r="AK37" s="104">
        <f t="shared" si="18"/>
        <v>1.9708747397872935E-2</v>
      </c>
      <c r="AL37" s="104">
        <f t="shared" si="18"/>
        <v>1.9861301821521547E-2</v>
      </c>
      <c r="AM37" s="104">
        <f t="shared" si="18"/>
        <v>2.0030645556140779E-2</v>
      </c>
      <c r="AN37" s="104">
        <f t="shared" si="18"/>
        <v>2.0030645556140779E-2</v>
      </c>
      <c r="AO37" s="104">
        <f t="shared" si="18"/>
        <v>2.0183199979789391E-2</v>
      </c>
      <c r="AP37" s="104">
        <f t="shared" si="18"/>
        <v>2.0183199979789391E-2</v>
      </c>
      <c r="AQ37" s="104">
        <f t="shared" si="18"/>
        <v>2.0335754403437999E-2</v>
      </c>
      <c r="AR37" s="104">
        <f t="shared" si="18"/>
        <v>2.0335754403437999E-2</v>
      </c>
      <c r="AS37" s="104">
        <f t="shared" ref="AS37" si="19">AS35-AS36</f>
        <v>2.0335754403437999E-2</v>
      </c>
    </row>
    <row r="38" spans="1:45">
      <c r="A38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</row>
    <row r="39" spans="1:45">
      <c r="A39" s="37" t="str">
        <f>"BASELINE (No "&amp;'BCA Summary'!$E$1&amp;") PDO Crash Vehicles"</f>
        <v>BASELINE (No BUILD Grant) PDO Crash Vehicles</v>
      </c>
      <c r="B39" s="37"/>
      <c r="C39" s="38"/>
      <c r="D39" s="81">
        <f>SUM(E39:AS39)</f>
        <v>1.4871297117884186</v>
      </c>
      <c r="E39" s="108">
        <f>'Safety - Railroad'!F40</f>
        <v>3.3175903582293637E-2</v>
      </c>
      <c r="F39" s="108">
        <f>'Safety - Railroad'!G40</f>
        <v>3.3175903582293637E-2</v>
      </c>
      <c r="G39" s="108">
        <f>'Safety - Railroad'!H40</f>
        <v>3.3810985860545206E-2</v>
      </c>
      <c r="H39" s="108">
        <f>'Safety - Railroad'!I40</f>
        <v>3.4093422544405429E-2</v>
      </c>
      <c r="I39" s="108">
        <f>'Safety - Railroad'!J40</f>
        <v>3.4093422544405429E-2</v>
      </c>
      <c r="J39" s="108">
        <f>'Safety - Railroad'!K40</f>
        <v>3.4375859228265637E-2</v>
      </c>
      <c r="K39" s="108">
        <f>'Safety - Railroad'!L40</f>
        <v>3.4375859228265637E-2</v>
      </c>
      <c r="L39" s="108">
        <f>'Safety - Railroad'!M40</f>
        <v>3.4601808575353811E-2</v>
      </c>
      <c r="M39" s="108">
        <f>'Safety - Railroad'!N40</f>
        <v>3.4601808575353811E-2</v>
      </c>
      <c r="N39" s="108">
        <f>'Safety - Railroad'!O40</f>
        <v>3.4827757922441985E-2</v>
      </c>
      <c r="O39" s="108">
        <f>'Safety - Railroad'!P40</f>
        <v>3.4827757922441985E-2</v>
      </c>
      <c r="P39" s="108">
        <f>'Safety - Railroad'!Q40</f>
        <v>3.5053707269530159E-2</v>
      </c>
      <c r="Q39" s="108">
        <f>'Safety - Railroad'!R40</f>
        <v>3.540635286392152E-2</v>
      </c>
      <c r="R39" s="108">
        <f>'Safety - Railroad'!S40</f>
        <v>3.5632302211009687E-2</v>
      </c>
      <c r="S39" s="108">
        <f>'Safety - Railroad'!T40</f>
        <v>3.5632302211009687E-2</v>
      </c>
      <c r="T39" s="108">
        <f>'Safety - Railroad'!U40</f>
        <v>3.5632302211009687E-2</v>
      </c>
      <c r="U39" s="108">
        <f>'Safety - Railroad'!V40</f>
        <v>3.5858251558097853E-2</v>
      </c>
      <c r="V39" s="108">
        <f>'Safety - Railroad'!W40</f>
        <v>3.5858251558097853E-2</v>
      </c>
      <c r="W39" s="108">
        <f>'Safety - Railroad'!X40</f>
        <v>3.6084200905186034E-2</v>
      </c>
      <c r="X39" s="108">
        <f>'Safety - Railroad'!Y40</f>
        <v>3.6084200905186034E-2</v>
      </c>
      <c r="Y39" s="108">
        <f>'Safety - Railroad'!Z40</f>
        <v>3.6310150252274201E-2</v>
      </c>
      <c r="Z39" s="108">
        <f>'Safety - Railroad'!AA40</f>
        <v>3.6310150252274201E-2</v>
      </c>
      <c r="AA39" s="108">
        <f>'Safety - Railroad'!AB40</f>
        <v>3.6662795846665569E-2</v>
      </c>
      <c r="AB39" s="108">
        <f>'Safety - Railroad'!AC40</f>
        <v>3.6888745193753736E-2</v>
      </c>
      <c r="AC39" s="108">
        <f>'Safety - Railroad'!AD40</f>
        <v>3.6888745193753736E-2</v>
      </c>
      <c r="AD39" s="108">
        <f>'Safety - Railroad'!AE40</f>
        <v>3.711469454084191E-2</v>
      </c>
      <c r="AE39" s="108">
        <f>'Safety - Railroad'!AF40</f>
        <v>3.711469454084191E-2</v>
      </c>
      <c r="AF39" s="108">
        <f>'Safety - Railroad'!AG40</f>
        <v>3.711469454084191E-2</v>
      </c>
      <c r="AG39" s="108">
        <f>'Safety - Railroad'!AH40</f>
        <v>3.7340643887930083E-2</v>
      </c>
      <c r="AH39" s="108">
        <f>'Safety - Railroad'!AI40</f>
        <v>3.7340643887930083E-2</v>
      </c>
      <c r="AI39" s="108">
        <f>'Safety - Railroad'!AJ40</f>
        <v>3.7623080571790299E-2</v>
      </c>
      <c r="AJ39" s="108">
        <f>'Safety - Railroad'!AK40</f>
        <v>3.7623080571790299E-2</v>
      </c>
      <c r="AK39" s="108">
        <f>'Safety - Railroad'!AL40</f>
        <v>3.7623080571790299E-2</v>
      </c>
      <c r="AL39" s="108">
        <f>'Safety - Railroad'!AM40</f>
        <v>3.7905517255650514E-2</v>
      </c>
      <c r="AM39" s="108">
        <f>'Safety - Railroad'!AN40</f>
        <v>3.8258162850041876E-2</v>
      </c>
      <c r="AN39" s="108">
        <f>'Safety - Railroad'!AO40</f>
        <v>3.8258162850041876E-2</v>
      </c>
      <c r="AO39" s="108">
        <f>'Safety - Railroad'!AP40</f>
        <v>3.8540599533902091E-2</v>
      </c>
      <c r="AP39" s="108">
        <f>'Safety - Railroad'!AQ40</f>
        <v>3.8540599533902091E-2</v>
      </c>
      <c r="AQ39" s="108">
        <f>'Safety - Railroad'!AR40</f>
        <v>3.8823036217762313E-2</v>
      </c>
      <c r="AR39" s="108">
        <f>'Safety - Railroad'!AS40</f>
        <v>3.8823036217762313E-2</v>
      </c>
      <c r="AS39" s="108">
        <f>'Safety - Railroad'!AT40</f>
        <v>3.8823036217762313E-2</v>
      </c>
    </row>
    <row r="40" spans="1:45">
      <c r="A40" s="26" t="str">
        <f>"PREFERRED (With "&amp;'BCA Summary'!$E$1&amp;") PDO Crash Vehicles"</f>
        <v>PREFERRED (With BUILD Grant) PDO Crash Vehicles</v>
      </c>
      <c r="B40" s="26"/>
      <c r="D40" s="82">
        <f>SUM(E40:AS40)</f>
        <v>0.51768515412153726</v>
      </c>
      <c r="E40" s="105">
        <f>'Safety - Railroad'!F41</f>
        <v>3.3175903582293637E-2</v>
      </c>
      <c r="F40" s="105">
        <f>'Safety - Railroad'!G41</f>
        <v>3.3175903582293637E-2</v>
      </c>
      <c r="G40" s="105">
        <f>'Safety - Railroad'!H41</f>
        <v>3.3810985860545206E-2</v>
      </c>
      <c r="H40" s="105">
        <f>'Safety - Railroad'!I41</f>
        <v>3.4093422544405429E-2</v>
      </c>
      <c r="I40" s="105">
        <f>'Safety - Railroad'!J41</f>
        <v>3.4093422544405429E-2</v>
      </c>
      <c r="J40" s="105">
        <f>'Safety - Railroad'!K41</f>
        <v>3.4375859228265637E-2</v>
      </c>
      <c r="K40" s="105">
        <f>'Safety - Railroad'!L41</f>
        <v>3.4375859228265637E-2</v>
      </c>
      <c r="L40" s="105">
        <f>'Safety - Railroad'!M41</f>
        <v>3.4601808575353811E-2</v>
      </c>
      <c r="M40" s="105">
        <f>'Safety - Railroad'!N41</f>
        <v>3.4601808575353811E-2</v>
      </c>
      <c r="N40" s="105">
        <f>'Safety - Railroad'!O41</f>
        <v>3.4827757922441985E-2</v>
      </c>
      <c r="O40" s="105">
        <f>'Safety - Railroad'!P41</f>
        <v>3.4827757922441985E-2</v>
      </c>
      <c r="P40" s="105">
        <f>'Safety - Railroad'!Q41</f>
        <v>3.5053707269530159E-2</v>
      </c>
      <c r="Q40" s="105">
        <f>'Safety - Railroad'!R41</f>
        <v>3.540635286392152E-2</v>
      </c>
      <c r="R40" s="105">
        <f>'Safety - Railroad'!S41</f>
        <v>3.5632302211009687E-2</v>
      </c>
      <c r="S40" s="105">
        <f>'Safety - Railroad'!T41</f>
        <v>3.5632302211009687E-2</v>
      </c>
      <c r="T40" s="105">
        <f>'Safety - Railroad'!U41</f>
        <v>0</v>
      </c>
      <c r="U40" s="105">
        <f>'Safety - Railroad'!V41</f>
        <v>0</v>
      </c>
      <c r="V40" s="105">
        <f>'Safety - Railroad'!W41</f>
        <v>0</v>
      </c>
      <c r="W40" s="105">
        <f>'Safety - Railroad'!X41</f>
        <v>0</v>
      </c>
      <c r="X40" s="105">
        <f>'Safety - Railroad'!Y41</f>
        <v>0</v>
      </c>
      <c r="Y40" s="105">
        <f>'Safety - Railroad'!Z41</f>
        <v>0</v>
      </c>
      <c r="Z40" s="105">
        <f>'Safety - Railroad'!AA41</f>
        <v>0</v>
      </c>
      <c r="AA40" s="105">
        <f>'Safety - Railroad'!AB41</f>
        <v>0</v>
      </c>
      <c r="AB40" s="105">
        <f>'Safety - Railroad'!AC41</f>
        <v>0</v>
      </c>
      <c r="AC40" s="105">
        <f>'Safety - Railroad'!AD41</f>
        <v>0</v>
      </c>
      <c r="AD40" s="105">
        <f>'Safety - Railroad'!AE41</f>
        <v>0</v>
      </c>
      <c r="AE40" s="105">
        <f>'Safety - Railroad'!AF41</f>
        <v>0</v>
      </c>
      <c r="AF40" s="105">
        <f>'Safety - Railroad'!AG41</f>
        <v>0</v>
      </c>
      <c r="AG40" s="105">
        <f>'Safety - Railroad'!AH41</f>
        <v>0</v>
      </c>
      <c r="AH40" s="105">
        <f>'Safety - Railroad'!AI41</f>
        <v>0</v>
      </c>
      <c r="AI40" s="105">
        <f>'Safety - Railroad'!AJ41</f>
        <v>0</v>
      </c>
      <c r="AJ40" s="105">
        <f>'Safety - Railroad'!AK41</f>
        <v>0</v>
      </c>
      <c r="AK40" s="105">
        <f>'Safety - Railroad'!AL41</f>
        <v>0</v>
      </c>
      <c r="AL40" s="105">
        <f>'Safety - Railroad'!AM41</f>
        <v>0</v>
      </c>
      <c r="AM40" s="105">
        <f>'Safety - Railroad'!AN41</f>
        <v>0</v>
      </c>
      <c r="AN40" s="105">
        <f>'Safety - Railroad'!AO41</f>
        <v>0</v>
      </c>
      <c r="AO40" s="105">
        <f>'Safety - Railroad'!AP41</f>
        <v>0</v>
      </c>
      <c r="AP40" s="105">
        <f>'Safety - Railroad'!AQ41</f>
        <v>0</v>
      </c>
      <c r="AQ40" s="105">
        <f>'Safety - Railroad'!AR41</f>
        <v>0</v>
      </c>
      <c r="AR40" s="105">
        <f>'Safety - Railroad'!AS41</f>
        <v>0</v>
      </c>
      <c r="AS40" s="105">
        <f>'Safety - Railroad'!AT41</f>
        <v>0</v>
      </c>
    </row>
    <row r="41" spans="1:45">
      <c r="A41" s="39" t="s">
        <v>112</v>
      </c>
      <c r="B41" s="39"/>
      <c r="C41" s="40"/>
      <c r="D41" s="83">
        <f>SUM(E41:AS41)</f>
        <v>0.9694445576668812</v>
      </c>
      <c r="E41" s="104">
        <f>E39-E40</f>
        <v>0</v>
      </c>
      <c r="F41" s="104">
        <f t="shared" ref="F41:AF41" si="20">F39-F40</f>
        <v>0</v>
      </c>
      <c r="G41" s="104">
        <f t="shared" si="20"/>
        <v>0</v>
      </c>
      <c r="H41" s="104">
        <f t="shared" si="20"/>
        <v>0</v>
      </c>
      <c r="I41" s="104">
        <f t="shared" si="20"/>
        <v>0</v>
      </c>
      <c r="J41" s="104">
        <f t="shared" si="20"/>
        <v>0</v>
      </c>
      <c r="K41" s="104">
        <f t="shared" si="20"/>
        <v>0</v>
      </c>
      <c r="L41" s="104">
        <f t="shared" si="20"/>
        <v>0</v>
      </c>
      <c r="M41" s="104">
        <f t="shared" si="20"/>
        <v>0</v>
      </c>
      <c r="N41" s="104">
        <f t="shared" si="20"/>
        <v>0</v>
      </c>
      <c r="O41" s="104">
        <f t="shared" si="20"/>
        <v>0</v>
      </c>
      <c r="P41" s="104">
        <f t="shared" si="20"/>
        <v>0</v>
      </c>
      <c r="Q41" s="104">
        <f t="shared" si="20"/>
        <v>0</v>
      </c>
      <c r="R41" s="104">
        <f t="shared" si="20"/>
        <v>0</v>
      </c>
      <c r="S41" s="104">
        <f t="shared" si="20"/>
        <v>0</v>
      </c>
      <c r="T41" s="104">
        <f t="shared" si="20"/>
        <v>3.5632302211009687E-2</v>
      </c>
      <c r="U41" s="104">
        <f t="shared" si="20"/>
        <v>3.5858251558097853E-2</v>
      </c>
      <c r="V41" s="104">
        <f t="shared" si="20"/>
        <v>3.5858251558097853E-2</v>
      </c>
      <c r="W41" s="104">
        <f t="shared" si="20"/>
        <v>3.6084200905186034E-2</v>
      </c>
      <c r="X41" s="104">
        <f t="shared" si="20"/>
        <v>3.6084200905186034E-2</v>
      </c>
      <c r="Y41" s="104">
        <f t="shared" si="20"/>
        <v>3.6310150252274201E-2</v>
      </c>
      <c r="Z41" s="104">
        <f t="shared" si="20"/>
        <v>3.6310150252274201E-2</v>
      </c>
      <c r="AA41" s="104">
        <f t="shared" si="20"/>
        <v>3.6662795846665569E-2</v>
      </c>
      <c r="AB41" s="104">
        <f t="shared" si="20"/>
        <v>3.6888745193753736E-2</v>
      </c>
      <c r="AC41" s="104">
        <f t="shared" si="20"/>
        <v>3.6888745193753736E-2</v>
      </c>
      <c r="AD41" s="104">
        <f t="shared" si="20"/>
        <v>3.711469454084191E-2</v>
      </c>
      <c r="AE41" s="104">
        <f t="shared" si="20"/>
        <v>3.711469454084191E-2</v>
      </c>
      <c r="AF41" s="104">
        <f t="shared" si="20"/>
        <v>3.711469454084191E-2</v>
      </c>
      <c r="AG41" s="104">
        <f t="shared" ref="AG41:AH41" si="21">AG39-AG40</f>
        <v>3.7340643887930083E-2</v>
      </c>
      <c r="AH41" s="104">
        <f t="shared" si="21"/>
        <v>3.7340643887930083E-2</v>
      </c>
      <c r="AI41" s="104">
        <f t="shared" ref="AI41:AR41" si="22">AI39-AI40</f>
        <v>3.7623080571790299E-2</v>
      </c>
      <c r="AJ41" s="104">
        <f t="shared" si="22"/>
        <v>3.7623080571790299E-2</v>
      </c>
      <c r="AK41" s="104">
        <f t="shared" si="22"/>
        <v>3.7623080571790299E-2</v>
      </c>
      <c r="AL41" s="104">
        <f t="shared" si="22"/>
        <v>3.7905517255650514E-2</v>
      </c>
      <c r="AM41" s="104">
        <f t="shared" si="22"/>
        <v>3.8258162850041876E-2</v>
      </c>
      <c r="AN41" s="104">
        <f t="shared" si="22"/>
        <v>3.8258162850041876E-2</v>
      </c>
      <c r="AO41" s="104">
        <f t="shared" si="22"/>
        <v>3.8540599533902091E-2</v>
      </c>
      <c r="AP41" s="104">
        <f t="shared" si="22"/>
        <v>3.8540599533902091E-2</v>
      </c>
      <c r="AQ41" s="104">
        <f t="shared" si="22"/>
        <v>3.8823036217762313E-2</v>
      </c>
      <c r="AR41" s="104">
        <f t="shared" si="22"/>
        <v>3.8823036217762313E-2</v>
      </c>
      <c r="AS41" s="104">
        <f t="shared" ref="AS41" si="23">AS39-AS40</f>
        <v>3.8823036217762313E-2</v>
      </c>
    </row>
    <row r="42" spans="1:45">
      <c r="D42" s="146"/>
      <c r="E42" s="61"/>
    </row>
    <row r="43" spans="1:45" ht="18" thickBot="1">
      <c r="A43" s="17" t="s">
        <v>234</v>
      </c>
      <c r="B43" s="17"/>
      <c r="C43" s="17"/>
      <c r="D43" s="17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</row>
    <row r="44" spans="1:45" ht="16" thickTop="1">
      <c r="A44" s="98" t="s">
        <v>82</v>
      </c>
    </row>
    <row r="45" spans="1:45">
      <c r="A45" s="89" t="str">
        <f>"BASELINE (No "&amp;'BCA Summary'!$E$1&amp;") total annual truck stopped delay, hrs"</f>
        <v>BASELINE (No BUILD Grant) total annual truck stopped delay, hrs</v>
      </c>
      <c r="B45" s="38"/>
      <c r="C45" s="38"/>
      <c r="D45" s="81">
        <f>SUM(E45:AS45)</f>
        <v>819513.31683642883</v>
      </c>
      <c r="E45" s="78">
        <f>'Travel Time Savings'!E9+'Travel Time Savings'!E28</f>
        <v>6660.5261571487199</v>
      </c>
      <c r="F45" s="78">
        <f>'Travel Time Savings'!F9+'Travel Time Savings'!F28</f>
        <v>7104.9447197862119</v>
      </c>
      <c r="G45" s="78">
        <f>'Travel Time Savings'!G9+'Travel Time Savings'!G28</f>
        <v>7566.4372526892366</v>
      </c>
      <c r="H45" s="78">
        <f>'Travel Time Savings'!H9+'Travel Time Savings'!H28</f>
        <v>8045.0037558577969</v>
      </c>
      <c r="I45" s="78">
        <f>'Travel Time Savings'!I9+'Travel Time Savings'!I28</f>
        <v>8540.6442292918891</v>
      </c>
      <c r="J45" s="78">
        <f>'Travel Time Savings'!J9+'Travel Time Savings'!J28</f>
        <v>9053.358672991515</v>
      </c>
      <c r="K45" s="78">
        <f>'Travel Time Savings'!K9+'Travel Time Savings'!K28</f>
        <v>9583.1470869566729</v>
      </c>
      <c r="L45" s="78">
        <f>'Travel Time Savings'!L9+'Travel Time Savings'!L28</f>
        <v>10130.009471187364</v>
      </c>
      <c r="M45" s="78">
        <f>'Travel Time Savings'!M9+'Travel Time Savings'!M28</f>
        <v>10693.945825683593</v>
      </c>
      <c r="N45" s="78">
        <f>'Travel Time Savings'!N9+'Travel Time Savings'!N28</f>
        <v>11274.956150445354</v>
      </c>
      <c r="O45" s="78">
        <f>'Travel Time Savings'!O9+'Travel Time Savings'!O28</f>
        <v>11873.040445472647</v>
      </c>
      <c r="P45" s="78">
        <f>'Travel Time Savings'!P9+'Travel Time Savings'!P28</f>
        <v>12488.198710765475</v>
      </c>
      <c r="Q45" s="78">
        <f>'Travel Time Savings'!Q9+'Travel Time Savings'!Q28</f>
        <v>13120.430946323835</v>
      </c>
      <c r="R45" s="78">
        <f>'Travel Time Savings'!R9+'Travel Time Savings'!R28</f>
        <v>13769.737152147729</v>
      </c>
      <c r="S45" s="78">
        <f>'Travel Time Savings'!S9+'Travel Time Savings'!S28</f>
        <v>14436.117328237158</v>
      </c>
      <c r="T45" s="78">
        <f>'Travel Time Savings'!T9+'Travel Time Savings'!T28</f>
        <v>15119.57147459212</v>
      </c>
      <c r="U45" s="78">
        <f>'Travel Time Savings'!U9+'Travel Time Savings'!U28</f>
        <v>15820.099591212616</v>
      </c>
      <c r="V45" s="78">
        <f>'Travel Time Savings'!V9+'Travel Time Savings'!V28</f>
        <v>16537.701678098649</v>
      </c>
      <c r="W45" s="78">
        <f>'Travel Time Savings'!W9+'Travel Time Savings'!W28</f>
        <v>17272.377735250207</v>
      </c>
      <c r="X45" s="78">
        <f>'Travel Time Savings'!X9+'Travel Time Savings'!X28</f>
        <v>18024.127762667311</v>
      </c>
      <c r="Y45" s="78">
        <f>'Travel Time Savings'!Y9+'Travel Time Savings'!Y28</f>
        <v>18792.951760349937</v>
      </c>
      <c r="Z45" s="78">
        <f>'Travel Time Savings'!Z9+'Travel Time Savings'!Z28</f>
        <v>19578.849728298101</v>
      </c>
      <c r="AA45" s="78">
        <f>'Travel Time Savings'!AA9+'Travel Time Savings'!AA28</f>
        <v>20381.821666511798</v>
      </c>
      <c r="AB45" s="78">
        <f>'Travel Time Savings'!AB9+'Travel Time Savings'!AB28</f>
        <v>21201.867574991025</v>
      </c>
      <c r="AC45" s="78">
        <f>'Travel Time Savings'!AC9+'Travel Time Savings'!AC28</f>
        <v>22038.98745373579</v>
      </c>
      <c r="AD45" s="78">
        <f>'Travel Time Savings'!AD9+'Travel Time Savings'!AD28</f>
        <v>22893.181302746085</v>
      </c>
      <c r="AE45" s="78">
        <f>'Travel Time Savings'!AE9+'Travel Time Savings'!AE28</f>
        <v>23764.449122021924</v>
      </c>
      <c r="AF45" s="78">
        <f>'Travel Time Savings'!AF9+'Travel Time Savings'!AF28</f>
        <v>24652.790911563286</v>
      </c>
      <c r="AG45" s="78">
        <f>'Travel Time Savings'!AG9+'Travel Time Savings'!AG28</f>
        <v>25558.206671370193</v>
      </c>
      <c r="AH45" s="78">
        <f>'Travel Time Savings'!AH9+'Travel Time Savings'!AH28</f>
        <v>26480.696401442612</v>
      </c>
      <c r="AI45" s="78">
        <f>'Travel Time Savings'!AI9+'Travel Time Savings'!AI28</f>
        <v>27420.260101780586</v>
      </c>
      <c r="AJ45" s="78">
        <f>'Travel Time Savings'!AJ9+'Travel Time Savings'!AJ28</f>
        <v>28376.897772384084</v>
      </c>
      <c r="AK45" s="78">
        <f>'Travel Time Savings'!AK9+'Travel Time Savings'!AK28</f>
        <v>29350.609413253122</v>
      </c>
      <c r="AL45" s="78">
        <f>'Travel Time Savings'!AL9+'Travel Time Savings'!AL28</f>
        <v>30341.395024387686</v>
      </c>
      <c r="AM45" s="78">
        <f>'Travel Time Savings'!AM9+'Travel Time Savings'!AM28</f>
        <v>31349.254605787784</v>
      </c>
      <c r="AN45" s="78">
        <f>'Travel Time Savings'!AN9+'Travel Time Savings'!AN28</f>
        <v>32374.188157453416</v>
      </c>
      <c r="AO45" s="78">
        <f>'Travel Time Savings'!AO9+'Travel Time Savings'!AO28</f>
        <v>33416.195679384589</v>
      </c>
      <c r="AP45" s="78">
        <f>'Travel Time Savings'!AP9+'Travel Time Savings'!AP28</f>
        <v>34475.277171581292</v>
      </c>
      <c r="AQ45" s="78">
        <f>'Travel Time Savings'!AQ9+'Travel Time Savings'!AQ28</f>
        <v>35551.432634043529</v>
      </c>
      <c r="AR45" s="78">
        <f>'Travel Time Savings'!AR9+'Travel Time Savings'!AR28</f>
        <v>36644.662066771292</v>
      </c>
      <c r="AS45" s="78">
        <f>'Travel Time Savings'!AS9+'Travel Time Savings'!AS28</f>
        <v>37754.965469764604</v>
      </c>
    </row>
    <row r="46" spans="1:45">
      <c r="A46" s="26" t="str">
        <f>"PREFERRED (With "&amp;'BCA Summary'!$E$1&amp;") total annual truck stopped delay, hrs"</f>
        <v>PREFERRED (With BUILD Grant) total annual truck stopped delay, hrs</v>
      </c>
      <c r="D46" s="82">
        <f>SUM(E46:AS46)</f>
        <v>267271.73083913809</v>
      </c>
      <c r="E46" s="80">
        <f>'Travel Time Savings'!E10+'Travel Time Savings'!E29</f>
        <v>6660.5261571487199</v>
      </c>
      <c r="F46" s="80">
        <f>'Travel Time Savings'!F10+'Travel Time Savings'!F29</f>
        <v>7104.9447197862119</v>
      </c>
      <c r="G46" s="80">
        <f>'Travel Time Savings'!G10+'Travel Time Savings'!G29</f>
        <v>7566.4372526892366</v>
      </c>
      <c r="H46" s="80">
        <f>'Travel Time Savings'!H10+'Travel Time Savings'!H29</f>
        <v>8045.0037558577969</v>
      </c>
      <c r="I46" s="80">
        <f>'Travel Time Savings'!I10+'Travel Time Savings'!I29</f>
        <v>8540.6442292918891</v>
      </c>
      <c r="J46" s="80">
        <f>'Travel Time Savings'!J10+'Travel Time Savings'!J29</f>
        <v>9053.358672991515</v>
      </c>
      <c r="K46" s="80">
        <f>'Travel Time Savings'!K10+'Travel Time Savings'!K29</f>
        <v>9583.1470869566729</v>
      </c>
      <c r="L46" s="80">
        <f>'Travel Time Savings'!L10+'Travel Time Savings'!L29</f>
        <v>10130.009471187364</v>
      </c>
      <c r="M46" s="80">
        <f>'Travel Time Savings'!M10+'Travel Time Savings'!M29</f>
        <v>10693.945825683593</v>
      </c>
      <c r="N46" s="80">
        <f>'Travel Time Savings'!N10+'Travel Time Savings'!N29</f>
        <v>11274.956150445354</v>
      </c>
      <c r="O46" s="80">
        <f>'Travel Time Savings'!O10+'Travel Time Savings'!O29</f>
        <v>11873.040445472647</v>
      </c>
      <c r="P46" s="80">
        <f>'Travel Time Savings'!P10+'Travel Time Savings'!P29</f>
        <v>12488.198710765475</v>
      </c>
      <c r="Q46" s="80">
        <f>'Travel Time Savings'!Q10+'Travel Time Savings'!Q29</f>
        <v>13120.430946323835</v>
      </c>
      <c r="R46" s="80">
        <f>'Travel Time Savings'!R10+'Travel Time Savings'!R29</f>
        <v>13769.737152147729</v>
      </c>
      <c r="S46" s="80">
        <f>'Travel Time Savings'!S10+'Travel Time Savings'!S29</f>
        <v>14436.117328237158</v>
      </c>
      <c r="T46" s="80">
        <f>'Travel Time Savings'!T10+'Travel Time Savings'!T29</f>
        <v>3217.8906083876527</v>
      </c>
      <c r="U46" s="80">
        <f>'Travel Time Savings'!U10+'Travel Time Savings'!U29</f>
        <v>3302.6240971733409</v>
      </c>
      <c r="V46" s="80">
        <f>'Travel Time Savings'!V10+'Travel Time Savings'!V29</f>
        <v>3388.0220833669991</v>
      </c>
      <c r="W46" s="80">
        <f>'Travel Time Savings'!W10+'Travel Time Savings'!W29</f>
        <v>3474.0845669686291</v>
      </c>
      <c r="X46" s="80">
        <f>'Travel Time Savings'!X10+'Travel Time Savings'!X29</f>
        <v>3560.8115479782314</v>
      </c>
      <c r="Y46" s="80">
        <f>'Travel Time Savings'!Y10+'Travel Time Savings'!Y29</f>
        <v>3648.2030263958031</v>
      </c>
      <c r="Z46" s="80">
        <f>'Travel Time Savings'!Z10+'Travel Time Savings'!Z29</f>
        <v>3736.2590022213481</v>
      </c>
      <c r="AA46" s="80">
        <f>'Travel Time Savings'!AA10+'Travel Time Savings'!AA29</f>
        <v>3824.9794754548634</v>
      </c>
      <c r="AB46" s="80">
        <f>'Travel Time Savings'!AB10+'Travel Time Savings'!AB29</f>
        <v>3914.3644460963501</v>
      </c>
      <c r="AC46" s="80">
        <f>'Travel Time Savings'!AC10+'Travel Time Savings'!AC29</f>
        <v>4004.413914145809</v>
      </c>
      <c r="AD46" s="80">
        <f>'Travel Time Savings'!AD10+'Travel Time Savings'!AD29</f>
        <v>4095.1278796032384</v>
      </c>
      <c r="AE46" s="80">
        <f>'Travel Time Savings'!AE10+'Travel Time Savings'!AE29</f>
        <v>4186.5063424686396</v>
      </c>
      <c r="AF46" s="80">
        <f>'Travel Time Savings'!AF10+'Travel Time Savings'!AF29</f>
        <v>4278.5493027420134</v>
      </c>
      <c r="AG46" s="80">
        <f>'Travel Time Savings'!AG10+'Travel Time Savings'!AG29</f>
        <v>4371.2567604233554</v>
      </c>
      <c r="AH46" s="80">
        <f>'Travel Time Savings'!AH10+'Travel Time Savings'!AH29</f>
        <v>4464.6287155126711</v>
      </c>
      <c r="AI46" s="80">
        <f>'Travel Time Savings'!AI10+'Travel Time Savings'!AI29</f>
        <v>4558.6651680099576</v>
      </c>
      <c r="AJ46" s="80">
        <f>'Travel Time Savings'!AJ10+'Travel Time Savings'!AJ29</f>
        <v>4653.3661179152141</v>
      </c>
      <c r="AK46" s="80">
        <f>'Travel Time Savings'!AK10+'Travel Time Savings'!AK29</f>
        <v>4748.7315652284433</v>
      </c>
      <c r="AL46" s="80">
        <f>'Travel Time Savings'!AL10+'Travel Time Savings'!AL29</f>
        <v>4844.7615099496443</v>
      </c>
      <c r="AM46" s="80">
        <f>'Travel Time Savings'!AM10+'Travel Time Savings'!AM29</f>
        <v>4941.4559520788162</v>
      </c>
      <c r="AN46" s="80">
        <f>'Travel Time Savings'!AN10+'Travel Time Savings'!AN29</f>
        <v>5038.8148916159598</v>
      </c>
      <c r="AO46" s="80">
        <f>'Travel Time Savings'!AO10+'Travel Time Savings'!AO29</f>
        <v>5136.8383285610735</v>
      </c>
      <c r="AP46" s="80">
        <f>'Travel Time Savings'!AP10+'Travel Time Savings'!AP29</f>
        <v>5235.5262629141607</v>
      </c>
      <c r="AQ46" s="80">
        <f>'Travel Time Savings'!AQ10+'Travel Time Savings'!AQ29</f>
        <v>5334.8786946752161</v>
      </c>
      <c r="AR46" s="80">
        <f>'Travel Time Savings'!AR10+'Travel Time Savings'!AR29</f>
        <v>5434.8956238442461</v>
      </c>
      <c r="AS46" s="80">
        <f>'Travel Time Savings'!AS10+'Travel Time Savings'!AS29</f>
        <v>5535.5770504212451</v>
      </c>
    </row>
    <row r="47" spans="1:45">
      <c r="A47" s="39" t="s">
        <v>30</v>
      </c>
      <c r="B47" s="40"/>
      <c r="C47" s="40"/>
      <c r="D47" s="83">
        <f>SUM(E47:AS47)</f>
        <v>552241.58599729068</v>
      </c>
      <c r="E47" s="119">
        <f>E45-E46</f>
        <v>0</v>
      </c>
      <c r="F47" s="119">
        <f t="shared" ref="F47:AF47" si="24">F45-F46</f>
        <v>0</v>
      </c>
      <c r="G47" s="119">
        <f t="shared" si="24"/>
        <v>0</v>
      </c>
      <c r="H47" s="119">
        <f t="shared" si="24"/>
        <v>0</v>
      </c>
      <c r="I47" s="119">
        <f t="shared" si="24"/>
        <v>0</v>
      </c>
      <c r="J47" s="119">
        <f t="shared" si="24"/>
        <v>0</v>
      </c>
      <c r="K47" s="119">
        <f t="shared" si="24"/>
        <v>0</v>
      </c>
      <c r="L47" s="119">
        <f t="shared" si="24"/>
        <v>0</v>
      </c>
      <c r="M47" s="119">
        <f t="shared" si="24"/>
        <v>0</v>
      </c>
      <c r="N47" s="119">
        <f t="shared" si="24"/>
        <v>0</v>
      </c>
      <c r="O47" s="119">
        <f t="shared" si="24"/>
        <v>0</v>
      </c>
      <c r="P47" s="119">
        <f t="shared" si="24"/>
        <v>0</v>
      </c>
      <c r="Q47" s="119">
        <f t="shared" si="24"/>
        <v>0</v>
      </c>
      <c r="R47" s="119">
        <f t="shared" si="24"/>
        <v>0</v>
      </c>
      <c r="S47" s="119">
        <f t="shared" si="24"/>
        <v>0</v>
      </c>
      <c r="T47" s="119">
        <f t="shared" si="24"/>
        <v>11901.680866204468</v>
      </c>
      <c r="U47" s="119">
        <f t="shared" si="24"/>
        <v>12517.475494039276</v>
      </c>
      <c r="V47" s="119">
        <f t="shared" si="24"/>
        <v>13149.67959473165</v>
      </c>
      <c r="W47" s="119">
        <f t="shared" si="24"/>
        <v>13798.293168281578</v>
      </c>
      <c r="X47" s="119">
        <f t="shared" si="24"/>
        <v>14463.316214689079</v>
      </c>
      <c r="Y47" s="119">
        <f t="shared" si="24"/>
        <v>15144.748733954133</v>
      </c>
      <c r="Z47" s="119">
        <f t="shared" si="24"/>
        <v>15842.590726076753</v>
      </c>
      <c r="AA47" s="119">
        <f t="shared" si="24"/>
        <v>16556.842191056934</v>
      </c>
      <c r="AB47" s="119">
        <f t="shared" si="24"/>
        <v>17287.503128894674</v>
      </c>
      <c r="AC47" s="119">
        <f t="shared" si="24"/>
        <v>18034.573539589983</v>
      </c>
      <c r="AD47" s="119">
        <f t="shared" si="24"/>
        <v>18798.053423142846</v>
      </c>
      <c r="AE47" s="119">
        <f t="shared" si="24"/>
        <v>19577.942779553283</v>
      </c>
      <c r="AF47" s="119">
        <f t="shared" si="24"/>
        <v>20374.241608821274</v>
      </c>
      <c r="AG47" s="119">
        <f t="shared" ref="AG47:AH47" si="25">AG45-AG46</f>
        <v>21186.949910946838</v>
      </c>
      <c r="AH47" s="119">
        <f t="shared" si="25"/>
        <v>22016.067685929942</v>
      </c>
      <c r="AI47" s="119">
        <f t="shared" ref="AI47:AR47" si="26">AI45-AI46</f>
        <v>22861.59493377063</v>
      </c>
      <c r="AJ47" s="119">
        <f t="shared" si="26"/>
        <v>23723.531654468869</v>
      </c>
      <c r="AK47" s="119">
        <f t="shared" si="26"/>
        <v>24601.877848024676</v>
      </c>
      <c r="AL47" s="119">
        <f t="shared" si="26"/>
        <v>25496.633514438043</v>
      </c>
      <c r="AM47" s="119">
        <f t="shared" si="26"/>
        <v>26407.798653708967</v>
      </c>
      <c r="AN47" s="119">
        <f t="shared" si="26"/>
        <v>27335.373265837457</v>
      </c>
      <c r="AO47" s="119">
        <f t="shared" si="26"/>
        <v>28279.357350823517</v>
      </c>
      <c r="AP47" s="119">
        <f t="shared" si="26"/>
        <v>29239.750908667131</v>
      </c>
      <c r="AQ47" s="119">
        <f t="shared" si="26"/>
        <v>30216.553939368314</v>
      </c>
      <c r="AR47" s="119">
        <f t="shared" si="26"/>
        <v>31209.766442927044</v>
      </c>
      <c r="AS47" s="119">
        <f t="shared" ref="AS47" si="27">AS45-AS46</f>
        <v>32219.388419343359</v>
      </c>
    </row>
    <row r="48" spans="1:45">
      <c r="A48"/>
      <c r="D48" s="146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</row>
    <row r="49" spans="1:45" ht="15">
      <c r="A49" s="98" t="s">
        <v>83</v>
      </c>
      <c r="B49"/>
      <c r="C49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</row>
    <row r="50" spans="1:45">
      <c r="A50" s="37" t="str">
        <f>"BASELINE (No "&amp;'BCA Summary'!$E$1&amp;") total annual passenger vehicle stopped delay, hrs"</f>
        <v>BASELINE (No BUILD Grant) total annual passenger vehicle stopped delay, hrs</v>
      </c>
      <c r="B50" s="38"/>
      <c r="C50" s="38"/>
      <c r="D50" s="81">
        <f>SUM(E50:AS50)</f>
        <v>17646961.908692852</v>
      </c>
      <c r="E50" s="78">
        <f>'Travel Time Savings'!E13+'Travel Time Savings'!E32</f>
        <v>158578.03442992212</v>
      </c>
      <c r="F50" s="78">
        <f>'Travel Time Savings'!F13+'Travel Time Savings'!F32</f>
        <v>172391.77957638141</v>
      </c>
      <c r="G50" s="78">
        <f>'Travel Time Savings'!G13+'Travel Time Savings'!G32</f>
        <v>186188.45075257518</v>
      </c>
      <c r="H50" s="78">
        <f>'Travel Time Savings'!H13+'Travel Time Savings'!H32</f>
        <v>199968.04795850345</v>
      </c>
      <c r="I50" s="78">
        <f>'Travel Time Savings'!I13+'Travel Time Savings'!I32</f>
        <v>213730.57119416611</v>
      </c>
      <c r="J50" s="78">
        <f>'Travel Time Savings'!J13+'Travel Time Savings'!J32</f>
        <v>227476.02045956335</v>
      </c>
      <c r="K50" s="78">
        <f>'Travel Time Savings'!K13+'Travel Time Savings'!K32</f>
        <v>241204.39575469491</v>
      </c>
      <c r="L50" s="78">
        <f>'Travel Time Savings'!L13+'Travel Time Savings'!L32</f>
        <v>254915.6970795611</v>
      </c>
      <c r="M50" s="78">
        <f>'Travel Time Savings'!M13+'Travel Time Savings'!M32</f>
        <v>268609.92443416163</v>
      </c>
      <c r="N50" s="78">
        <f>'Travel Time Savings'!N13+'Travel Time Savings'!N32</f>
        <v>282287.07781849662</v>
      </c>
      <c r="O50" s="78">
        <f>'Travel Time Savings'!O13+'Travel Time Savings'!O32</f>
        <v>295947.15723256615</v>
      </c>
      <c r="P50" s="78">
        <f>'Travel Time Savings'!P13+'Travel Time Savings'!P32</f>
        <v>309590.16267637018</v>
      </c>
      <c r="Q50" s="78">
        <f>'Travel Time Savings'!Q13+'Travel Time Savings'!Q32</f>
        <v>323216.09414990857</v>
      </c>
      <c r="R50" s="78">
        <f>'Travel Time Savings'!R13+'Travel Time Savings'!R32</f>
        <v>336824.95165318146</v>
      </c>
      <c r="S50" s="78">
        <f>'Travel Time Savings'!S13+'Travel Time Savings'!S32</f>
        <v>350416.73518618883</v>
      </c>
      <c r="T50" s="78">
        <f>'Travel Time Savings'!T13+'Travel Time Savings'!T32</f>
        <v>363991.44474893075</v>
      </c>
      <c r="U50" s="78">
        <f>'Travel Time Savings'!U13+'Travel Time Savings'!U32</f>
        <v>377549.08034140698</v>
      </c>
      <c r="V50" s="78">
        <f>'Travel Time Savings'!V13+'Travel Time Savings'!V32</f>
        <v>391089.6419636177</v>
      </c>
      <c r="W50" s="78">
        <f>'Travel Time Savings'!W13+'Travel Time Savings'!W32</f>
        <v>404613.12961556303</v>
      </c>
      <c r="X50" s="78">
        <f>'Travel Time Savings'!X13+'Travel Time Savings'!X32</f>
        <v>418119.54329724261</v>
      </c>
      <c r="Y50" s="78">
        <f>'Travel Time Savings'!Y13+'Travel Time Savings'!Y32</f>
        <v>431608.88300865691</v>
      </c>
      <c r="Z50" s="78">
        <f>'Travel Time Savings'!Z13+'Travel Time Savings'!Z32</f>
        <v>445081.14874980552</v>
      </c>
      <c r="AA50" s="78">
        <f>'Travel Time Savings'!AA13+'Travel Time Savings'!AA32</f>
        <v>458536.34052068868</v>
      </c>
      <c r="AB50" s="78">
        <f>'Travel Time Savings'!AB13+'Travel Time Savings'!AB32</f>
        <v>471974.45832130627</v>
      </c>
      <c r="AC50" s="78">
        <f>'Travel Time Savings'!AC13+'Travel Time Savings'!AC32</f>
        <v>485395.50215165818</v>
      </c>
      <c r="AD50" s="78">
        <f>'Travel Time Savings'!AD13+'Travel Time Savings'!AD32</f>
        <v>498799.47201174474</v>
      </c>
      <c r="AE50" s="78">
        <f>'Travel Time Savings'!AE13+'Travel Time Savings'!AE32</f>
        <v>512186.36790156574</v>
      </c>
      <c r="AF50" s="78">
        <f>'Travel Time Savings'!AF13+'Travel Time Savings'!AF32</f>
        <v>525556.18982112105</v>
      </c>
      <c r="AG50" s="78">
        <f>'Travel Time Savings'!AG13+'Travel Time Savings'!AG32</f>
        <v>538908.93777041102</v>
      </c>
      <c r="AH50" s="78">
        <f>'Travel Time Savings'!AH13+'Travel Time Savings'!AH32</f>
        <v>552244.61174943543</v>
      </c>
      <c r="AI50" s="78">
        <f>'Travel Time Savings'!AI13+'Travel Time Savings'!AI32</f>
        <v>565563.21175819426</v>
      </c>
      <c r="AJ50" s="78">
        <f>'Travel Time Savings'!AJ13+'Travel Time Savings'!AJ32</f>
        <v>578864.73779668764</v>
      </c>
      <c r="AK50" s="78">
        <f>'Travel Time Savings'!AK13+'Travel Time Savings'!AK32</f>
        <v>592149.18986491533</v>
      </c>
      <c r="AL50" s="78">
        <f>'Travel Time Savings'!AL13+'Travel Time Savings'!AL32</f>
        <v>605416.56796287745</v>
      </c>
      <c r="AM50" s="78">
        <f>'Travel Time Savings'!AM13+'Travel Time Savings'!AM32</f>
        <v>618666.87209057435</v>
      </c>
      <c r="AN50" s="78">
        <f>'Travel Time Savings'!AN13+'Travel Time Savings'!AN32</f>
        <v>631900.10224800545</v>
      </c>
      <c r="AO50" s="78">
        <f>'Travel Time Savings'!AO13+'Travel Time Savings'!AO32</f>
        <v>645116.25843517098</v>
      </c>
      <c r="AP50" s="78">
        <f>'Travel Time Savings'!AP13+'Travel Time Savings'!AP32</f>
        <v>658315.34065207117</v>
      </c>
      <c r="AQ50" s="78">
        <f>'Travel Time Savings'!AQ13+'Travel Time Savings'!AQ32</f>
        <v>671497.34889870568</v>
      </c>
      <c r="AR50" s="78">
        <f>'Travel Time Savings'!AR13+'Travel Time Savings'!AR32</f>
        <v>684662.28317507473</v>
      </c>
      <c r="AS50" s="78">
        <f>'Travel Time Savings'!AS13+'Travel Time Savings'!AS32</f>
        <v>697810.14348117821</v>
      </c>
    </row>
    <row r="51" spans="1:45">
      <c r="A51" s="26" t="str">
        <f>"PREFERRED (With "&amp;'BCA Summary'!$E$1&amp;") total annual passenger vehicle stopped delay, hrs"</f>
        <v>PREFERRED (With BUILD Grant) total annual passenger vehicle stopped delay, hrs</v>
      </c>
      <c r="D51" s="82">
        <f>SUM(E51:AS51)</f>
        <v>5248533.4542021602</v>
      </c>
      <c r="E51" s="80">
        <f>'Travel Time Savings'!E14+'Travel Time Savings'!E33</f>
        <v>158578.03442992212</v>
      </c>
      <c r="F51" s="80">
        <f>'Travel Time Savings'!F14+'Travel Time Savings'!F33</f>
        <v>172391.77957638141</v>
      </c>
      <c r="G51" s="80">
        <f>'Travel Time Savings'!G14+'Travel Time Savings'!G33</f>
        <v>186188.45075257518</v>
      </c>
      <c r="H51" s="80">
        <f>'Travel Time Savings'!H14+'Travel Time Savings'!H33</f>
        <v>199968.04795850345</v>
      </c>
      <c r="I51" s="80">
        <f>'Travel Time Savings'!I14+'Travel Time Savings'!I33</f>
        <v>213730.57119416611</v>
      </c>
      <c r="J51" s="80">
        <f>'Travel Time Savings'!J14+'Travel Time Savings'!J33</f>
        <v>227476.02045956335</v>
      </c>
      <c r="K51" s="80">
        <f>'Travel Time Savings'!K14+'Travel Time Savings'!K33</f>
        <v>241204.39575469491</v>
      </c>
      <c r="L51" s="80">
        <f>'Travel Time Savings'!L14+'Travel Time Savings'!L33</f>
        <v>254915.6970795611</v>
      </c>
      <c r="M51" s="80">
        <f>'Travel Time Savings'!M14+'Travel Time Savings'!M33</f>
        <v>268609.92443416163</v>
      </c>
      <c r="N51" s="80">
        <f>'Travel Time Savings'!N14+'Travel Time Savings'!N33</f>
        <v>282287.07781849662</v>
      </c>
      <c r="O51" s="80">
        <f>'Travel Time Savings'!O14+'Travel Time Savings'!O33</f>
        <v>295947.15723256615</v>
      </c>
      <c r="P51" s="80">
        <f>'Travel Time Savings'!P14+'Travel Time Savings'!P33</f>
        <v>309590.16267637018</v>
      </c>
      <c r="Q51" s="80">
        <f>'Travel Time Savings'!Q14+'Travel Time Savings'!Q33</f>
        <v>323216.09414990857</v>
      </c>
      <c r="R51" s="80">
        <f>'Travel Time Savings'!R14+'Travel Time Savings'!R33</f>
        <v>336824.95165318146</v>
      </c>
      <c r="S51" s="80">
        <f>'Travel Time Savings'!S14+'Travel Time Savings'!S33</f>
        <v>350416.73518618883</v>
      </c>
      <c r="T51" s="80">
        <f>'Travel Time Savings'!T14+'Travel Time Savings'!T33</f>
        <v>40710.554647307625</v>
      </c>
      <c r="U51" s="80">
        <f>'Travel Time Savings'!U14+'Travel Time Savings'!U33</f>
        <v>41778.34605034392</v>
      </c>
      <c r="V51" s="80">
        <f>'Travel Time Savings'!V14+'Travel Time Savings'!V33</f>
        <v>42854.476579160626</v>
      </c>
      <c r="W51" s="80">
        <f>'Travel Time Savings'!W14+'Travel Time Savings'!W33</f>
        <v>43938.946233757772</v>
      </c>
      <c r="X51" s="80">
        <f>'Travel Time Savings'!X14+'Travel Time Savings'!X33</f>
        <v>45031.755014135364</v>
      </c>
      <c r="Y51" s="80">
        <f>'Travel Time Savings'!Y14+'Travel Time Savings'!Y33</f>
        <v>46132.902920293374</v>
      </c>
      <c r="Z51" s="80">
        <f>'Travel Time Savings'!Z14+'Travel Time Savings'!Z33</f>
        <v>47242.389952231824</v>
      </c>
      <c r="AA51" s="80">
        <f>'Travel Time Savings'!AA14+'Travel Time Savings'!AA33</f>
        <v>48360.216109950721</v>
      </c>
      <c r="AB51" s="80">
        <f>'Travel Time Savings'!AB14+'Travel Time Savings'!AB33</f>
        <v>49486.381393450036</v>
      </c>
      <c r="AC51" s="80">
        <f>'Travel Time Savings'!AC14+'Travel Time Savings'!AC33</f>
        <v>50620.885802729797</v>
      </c>
      <c r="AD51" s="80">
        <f>'Travel Time Savings'!AD14+'Travel Time Savings'!AD33</f>
        <v>51763.729337789991</v>
      </c>
      <c r="AE51" s="80">
        <f>'Travel Time Savings'!AE14+'Travel Time Savings'!AE33</f>
        <v>52914.911998630618</v>
      </c>
      <c r="AF51" s="80">
        <f>'Travel Time Savings'!AF14+'Travel Time Savings'!AF33</f>
        <v>54074.433785251684</v>
      </c>
      <c r="AG51" s="80">
        <f>'Travel Time Savings'!AG14+'Travel Time Savings'!AG33</f>
        <v>55242.29469765316</v>
      </c>
      <c r="AH51" s="80">
        <f>'Travel Time Savings'!AH14+'Travel Time Savings'!AH33</f>
        <v>56418.494735835098</v>
      </c>
      <c r="AI51" s="80">
        <f>'Travel Time Savings'!AI14+'Travel Time Savings'!AI33</f>
        <v>57603.033899797469</v>
      </c>
      <c r="AJ51" s="80">
        <f>'Travel Time Savings'!AJ14+'Travel Time Savings'!AJ33</f>
        <v>58795.912189540257</v>
      </c>
      <c r="AK51" s="80">
        <f>'Travel Time Savings'!AK14+'Travel Time Savings'!AK33</f>
        <v>59997.129605063485</v>
      </c>
      <c r="AL51" s="80">
        <f>'Travel Time Savings'!AL14+'Travel Time Savings'!AL33</f>
        <v>61206.686146367159</v>
      </c>
      <c r="AM51" s="80">
        <f>'Travel Time Savings'!AM14+'Travel Time Savings'!AM33</f>
        <v>62424.581813451259</v>
      </c>
      <c r="AN51" s="80">
        <f>'Travel Time Savings'!AN14+'Travel Time Savings'!AN33</f>
        <v>63650.816606315806</v>
      </c>
      <c r="AO51" s="80">
        <f>'Travel Time Savings'!AO14+'Travel Time Savings'!AO33</f>
        <v>64885.390524960771</v>
      </c>
      <c r="AP51" s="80">
        <f>'Travel Time Savings'!AP14+'Travel Time Savings'!AP33</f>
        <v>66128.303569386189</v>
      </c>
      <c r="AQ51" s="80">
        <f>'Travel Time Savings'!AQ14+'Travel Time Savings'!AQ33</f>
        <v>67379.555739592004</v>
      </c>
      <c r="AR51" s="80">
        <f>'Travel Time Savings'!AR14+'Travel Time Savings'!AR33</f>
        <v>68639.14703557828</v>
      </c>
      <c r="AS51" s="80">
        <f>'Travel Time Savings'!AS14+'Travel Time Savings'!AS33</f>
        <v>69907.077457345003</v>
      </c>
    </row>
    <row r="52" spans="1:45">
      <c r="A52" s="39" t="s">
        <v>30</v>
      </c>
      <c r="B52" s="40"/>
      <c r="C52" s="40"/>
      <c r="D52" s="83">
        <f>SUM(E52:AS52)</f>
        <v>12398428.45449069</v>
      </c>
      <c r="E52" s="119">
        <f>E50-E51</f>
        <v>0</v>
      </c>
      <c r="F52" s="119">
        <f t="shared" ref="F52:AF52" si="28">F50-F51</f>
        <v>0</v>
      </c>
      <c r="G52" s="119">
        <f t="shared" si="28"/>
        <v>0</v>
      </c>
      <c r="H52" s="119">
        <f t="shared" si="28"/>
        <v>0</v>
      </c>
      <c r="I52" s="119">
        <f t="shared" si="28"/>
        <v>0</v>
      </c>
      <c r="J52" s="119">
        <f t="shared" si="28"/>
        <v>0</v>
      </c>
      <c r="K52" s="119">
        <f t="shared" si="28"/>
        <v>0</v>
      </c>
      <c r="L52" s="119">
        <f t="shared" si="28"/>
        <v>0</v>
      </c>
      <c r="M52" s="119">
        <f t="shared" si="28"/>
        <v>0</v>
      </c>
      <c r="N52" s="119">
        <f t="shared" si="28"/>
        <v>0</v>
      </c>
      <c r="O52" s="119">
        <f t="shared" si="28"/>
        <v>0</v>
      </c>
      <c r="P52" s="119">
        <f t="shared" si="28"/>
        <v>0</v>
      </c>
      <c r="Q52" s="119">
        <f t="shared" si="28"/>
        <v>0</v>
      </c>
      <c r="R52" s="119">
        <f t="shared" si="28"/>
        <v>0</v>
      </c>
      <c r="S52" s="119">
        <f t="shared" si="28"/>
        <v>0</v>
      </c>
      <c r="T52" s="119">
        <f t="shared" si="28"/>
        <v>323280.89010162314</v>
      </c>
      <c r="U52" s="119">
        <f t="shared" si="28"/>
        <v>335770.73429106304</v>
      </c>
      <c r="V52" s="119">
        <f t="shared" si="28"/>
        <v>348235.1653844571</v>
      </c>
      <c r="W52" s="119">
        <f t="shared" si="28"/>
        <v>360674.18338180525</v>
      </c>
      <c r="X52" s="119">
        <f t="shared" si="28"/>
        <v>373087.78828310722</v>
      </c>
      <c r="Y52" s="119">
        <f t="shared" si="28"/>
        <v>385475.98008836352</v>
      </c>
      <c r="Z52" s="119">
        <f t="shared" si="28"/>
        <v>397838.75879757368</v>
      </c>
      <c r="AA52" s="119">
        <f t="shared" si="28"/>
        <v>410176.12441073795</v>
      </c>
      <c r="AB52" s="119">
        <f t="shared" si="28"/>
        <v>422488.07692785625</v>
      </c>
      <c r="AC52" s="119">
        <f t="shared" si="28"/>
        <v>434774.61634892836</v>
      </c>
      <c r="AD52" s="119">
        <f t="shared" si="28"/>
        <v>447035.74267395475</v>
      </c>
      <c r="AE52" s="119">
        <f t="shared" si="28"/>
        <v>459271.45590293512</v>
      </c>
      <c r="AF52" s="119">
        <f t="shared" si="28"/>
        <v>471481.75603586936</v>
      </c>
      <c r="AG52" s="119">
        <f t="shared" ref="AG52:AH52" si="29">AG50-AG51</f>
        <v>483666.64307275787</v>
      </c>
      <c r="AH52" s="119">
        <f t="shared" si="29"/>
        <v>495826.11701360031</v>
      </c>
      <c r="AI52" s="119">
        <f t="shared" ref="AI52:AR52" si="30">AI50-AI51</f>
        <v>507960.17785839678</v>
      </c>
      <c r="AJ52" s="119">
        <f t="shared" si="30"/>
        <v>520068.82560714736</v>
      </c>
      <c r="AK52" s="119">
        <f t="shared" si="30"/>
        <v>532152.06025985186</v>
      </c>
      <c r="AL52" s="119">
        <f t="shared" si="30"/>
        <v>544209.88181651034</v>
      </c>
      <c r="AM52" s="119">
        <f t="shared" si="30"/>
        <v>556242.2902771231</v>
      </c>
      <c r="AN52" s="119">
        <f t="shared" si="30"/>
        <v>568249.28564168967</v>
      </c>
      <c r="AO52" s="119">
        <f t="shared" si="30"/>
        <v>580230.86791021016</v>
      </c>
      <c r="AP52" s="119">
        <f t="shared" si="30"/>
        <v>592187.03708268492</v>
      </c>
      <c r="AQ52" s="119">
        <f t="shared" si="30"/>
        <v>604117.79315911373</v>
      </c>
      <c r="AR52" s="119">
        <f t="shared" si="30"/>
        <v>616023.13613949646</v>
      </c>
      <c r="AS52" s="119">
        <f t="shared" ref="AS52" si="31">AS50-AS51</f>
        <v>627903.06602383323</v>
      </c>
    </row>
    <row r="53" spans="1:45">
      <c r="A53"/>
      <c r="D53" s="146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</row>
    <row r="54" spans="1:45">
      <c r="C54" s="72" t="s">
        <v>146</v>
      </c>
      <c r="D54" s="149">
        <f>D47+D52</f>
        <v>12950670.04048798</v>
      </c>
      <c r="E54" s="61"/>
      <c r="O54" s="61">
        <f>O47+O52</f>
        <v>0</v>
      </c>
      <c r="P54" s="61"/>
      <c r="T54" s="61">
        <f>T47+T52</f>
        <v>335182.57096782763</v>
      </c>
      <c r="Y54" s="61">
        <f>Y47+Y52</f>
        <v>400620.72882231767</v>
      </c>
      <c r="AD54" s="61">
        <f>AD47+AD52</f>
        <v>465833.79609709757</v>
      </c>
      <c r="AI54" s="61">
        <f>AI47+AI52</f>
        <v>530821.77279216738</v>
      </c>
      <c r="AN54" s="61">
        <f>AN47+AN52</f>
        <v>595584.6589075271</v>
      </c>
      <c r="AS54" s="61">
        <f>AS47+AS52</f>
        <v>660122.45444317663</v>
      </c>
    </row>
    <row r="55" spans="1:45">
      <c r="D55" s="146">
        <f>D54/30</f>
        <v>431689.00134959933</v>
      </c>
      <c r="E55" s="61"/>
    </row>
    <row r="56" spans="1:45" ht="18" thickBot="1">
      <c r="A56" s="17" t="s">
        <v>97</v>
      </c>
      <c r="B56" s="17"/>
      <c r="C56" s="17"/>
      <c r="D56" s="17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</row>
    <row r="57" spans="1:45" s="31" customFormat="1" ht="16" thickTop="1">
      <c r="A57" s="31" t="s">
        <v>93</v>
      </c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2"/>
      <c r="Z57" s="112"/>
      <c r="AA57" s="112"/>
      <c r="AB57" s="112"/>
      <c r="AC57" s="112"/>
      <c r="AD57" s="112"/>
      <c r="AE57" s="112"/>
      <c r="AF57" s="112"/>
      <c r="AG57" s="112"/>
      <c r="AH57" s="112"/>
      <c r="AI57" s="112"/>
      <c r="AJ57" s="112"/>
      <c r="AK57" s="112"/>
      <c r="AL57" s="112"/>
      <c r="AM57" s="112"/>
      <c r="AN57" s="112"/>
      <c r="AO57" s="112"/>
      <c r="AP57" s="112"/>
      <c r="AQ57" s="112"/>
      <c r="AR57" s="112"/>
      <c r="AS57" s="112"/>
    </row>
    <row r="58" spans="1:45">
      <c r="A58" s="37" t="str">
        <f>"BASELINE (No "&amp;'BCA Summary'!$E$1&amp;" Grant) annual short tons of NOx"</f>
        <v>BASELINE (No BUILD Grant Grant) annual short tons of NOx</v>
      </c>
      <c r="B58" s="37"/>
      <c r="C58" s="37"/>
      <c r="D58" s="81">
        <f>SUM(E58:AS58)</f>
        <v>10.047395748680604</v>
      </c>
      <c r="E58" s="78">
        <f>'Emissions Reductions'!E17+'Emissions Reductions'!E33</f>
        <v>0.1135383665054039</v>
      </c>
      <c r="F58" s="78">
        <f>'Emissions Reductions'!F17+'Emissions Reductions'!F33</f>
        <v>0.12102325703392089</v>
      </c>
      <c r="G58" s="78">
        <f>'Emissions Reductions'!G17+'Emissions Reductions'!G33</f>
        <v>0.12814625030654772</v>
      </c>
      <c r="H58" s="78">
        <f>'Emissions Reductions'!H17+'Emissions Reductions'!H33</f>
        <v>0.1348910597175714</v>
      </c>
      <c r="I58" s="78">
        <f>'Emissions Reductions'!I17+'Emissions Reductions'!I33</f>
        <v>0.14124139866127877</v>
      </c>
      <c r="J58" s="78">
        <f>'Emissions Reductions'!J17+'Emissions Reductions'!J33</f>
        <v>0.14718098053195686</v>
      </c>
      <c r="K58" s="78">
        <f>'Emissions Reductions'!K17+'Emissions Reductions'!K33</f>
        <v>0.15269351872389259</v>
      </c>
      <c r="L58" s="78">
        <f>'Emissions Reductions'!L17+'Emissions Reductions'!L33</f>
        <v>0.15776272663137292</v>
      </c>
      <c r="M58" s="78">
        <f>'Emissions Reductions'!M17+'Emissions Reductions'!M33</f>
        <v>0.16237231764868479</v>
      </c>
      <c r="N58" s="78">
        <f>'Emissions Reductions'!N17+'Emissions Reductions'!N33</f>
        <v>0.16650600517011516</v>
      </c>
      <c r="O58" s="78">
        <f>'Emissions Reductions'!O17+'Emissions Reductions'!O33</f>
        <v>0.17014750258995093</v>
      </c>
      <c r="P58" s="78">
        <f>'Emissions Reductions'!P17+'Emissions Reductions'!P33</f>
        <v>0.17328052330247909</v>
      </c>
      <c r="Q58" s="78">
        <f>'Emissions Reductions'!Q17+'Emissions Reductions'!Q33</f>
        <v>0.17588878070198655</v>
      </c>
      <c r="R58" s="78">
        <f>'Emissions Reductions'!R17+'Emissions Reductions'!R33</f>
        <v>0.17795598818276026</v>
      </c>
      <c r="S58" s="78">
        <f>'Emissions Reductions'!S17+'Emissions Reductions'!S33</f>
        <v>0.17946585913908725</v>
      </c>
      <c r="T58" s="78">
        <f>'Emissions Reductions'!T17+'Emissions Reductions'!T33</f>
        <v>0.18040210696525438</v>
      </c>
      <c r="U58" s="78">
        <f>'Emissions Reductions'!U17+'Emissions Reductions'!U33</f>
        <v>0.18819809265944387</v>
      </c>
      <c r="V58" s="78">
        <f>'Emissions Reductions'!V17+'Emissions Reductions'!V33</f>
        <v>0.19608147151872665</v>
      </c>
      <c r="W58" s="78">
        <f>'Emissions Reductions'!W17+'Emissions Reductions'!W33</f>
        <v>0.2040493312077839</v>
      </c>
      <c r="X58" s="78">
        <f>'Emissions Reductions'!X17+'Emissions Reductions'!X33</f>
        <v>0.21209875939129724</v>
      </c>
      <c r="Y58" s="78">
        <f>'Emissions Reductions'!Y17+'Emissions Reductions'!Y33</f>
        <v>0.22022684373394766</v>
      </c>
      <c r="Z58" s="78">
        <f>'Emissions Reductions'!Z17+'Emissions Reductions'!Z33</f>
        <v>0.22843067190041658</v>
      </c>
      <c r="AA58" s="78">
        <f>'Emissions Reductions'!AA17+'Emissions Reductions'!AA33</f>
        <v>0.23670733155538531</v>
      </c>
      <c r="AB58" s="78">
        <f>'Emissions Reductions'!AB17+'Emissions Reductions'!AB33</f>
        <v>0.24505391036353513</v>
      </c>
      <c r="AC58" s="78">
        <f>'Emissions Reductions'!AC17+'Emissions Reductions'!AC33</f>
        <v>0.25346749598954732</v>
      </c>
      <c r="AD58" s="78">
        <f>'Emissions Reductions'!AD17+'Emissions Reductions'!AD33</f>
        <v>0.26194517609810325</v>
      </c>
      <c r="AE58" s="78">
        <f>'Emissions Reductions'!AE17+'Emissions Reductions'!AE33</f>
        <v>0.27257577953598111</v>
      </c>
      <c r="AF58" s="78">
        <f>'Emissions Reductions'!AF17+'Emissions Reductions'!AF33</f>
        <v>0.28341115013257845</v>
      </c>
      <c r="AG58" s="78">
        <f>'Emissions Reductions'!AG17+'Emissions Reductions'!AG33</f>
        <v>0.29445080456896722</v>
      </c>
      <c r="AH58" s="78">
        <f>'Emissions Reductions'!AH17+'Emissions Reductions'!AH33</f>
        <v>0.30569425952621854</v>
      </c>
      <c r="AI58" s="78">
        <f>'Emissions Reductions'!AI17+'Emissions Reductions'!AI33</f>
        <v>0.31714103168540436</v>
      </c>
      <c r="AJ58" s="78">
        <f>'Emissions Reductions'!AJ17+'Emissions Reductions'!AJ33</f>
        <v>0.32879063772759615</v>
      </c>
      <c r="AK58" s="78">
        <f>'Emissions Reductions'!AK17+'Emissions Reductions'!AK33</f>
        <v>0.34064259433386557</v>
      </c>
      <c r="AL58" s="78">
        <f>'Emissions Reductions'!AL17+'Emissions Reductions'!AL33</f>
        <v>0.35269641818528402</v>
      </c>
      <c r="AM58" s="78">
        <f>'Emissions Reductions'!AM17+'Emissions Reductions'!AM33</f>
        <v>0.36495162596292308</v>
      </c>
      <c r="AN58" s="78">
        <f>'Emissions Reductions'!AN17+'Emissions Reductions'!AN33</f>
        <v>0.37740773434785446</v>
      </c>
      <c r="AO58" s="78">
        <f>'Emissions Reductions'!AO17+'Emissions Reductions'!AO33</f>
        <v>0.39006426002114974</v>
      </c>
      <c r="AP58" s="78">
        <f>'Emissions Reductions'!AP17+'Emissions Reductions'!AP33</f>
        <v>0.40292071966388038</v>
      </c>
      <c r="AQ58" s="78">
        <f>'Emissions Reductions'!AQ17+'Emissions Reductions'!AQ33</f>
        <v>0.41597662995711809</v>
      </c>
      <c r="AR58" s="78">
        <f>'Emissions Reductions'!AR17+'Emissions Reductions'!AR33</f>
        <v>0.42923150758193424</v>
      </c>
      <c r="AS58" s="78">
        <f>'Emissions Reductions'!AS17+'Emissions Reductions'!AS33</f>
        <v>0.44268486921940076</v>
      </c>
    </row>
    <row r="59" spans="1:45">
      <c r="A59" s="26" t="str">
        <f>"PREFERRED (With "&amp;'BCA Summary'!$E$1&amp;" Grant) annual short tons of Nox"</f>
        <v>PREFERRED (With BUILD Grant Grant) annual short tons of Nox</v>
      </c>
      <c r="B59" s="26"/>
      <c r="C59" s="26"/>
      <c r="D59" s="82">
        <f>SUM(E59:AS59)</f>
        <v>3.8108212822963048</v>
      </c>
      <c r="E59" s="80">
        <f>'Emissions Reductions'!E18+'Emissions Reductions'!E34</f>
        <v>0.1135383665054039</v>
      </c>
      <c r="F59" s="80">
        <f>'Emissions Reductions'!F18+'Emissions Reductions'!F34</f>
        <v>0.12102325703392089</v>
      </c>
      <c r="G59" s="80">
        <f>'Emissions Reductions'!G18+'Emissions Reductions'!G34</f>
        <v>0.12814625030654772</v>
      </c>
      <c r="H59" s="80">
        <f>'Emissions Reductions'!H18+'Emissions Reductions'!H34</f>
        <v>0.1348910597175714</v>
      </c>
      <c r="I59" s="80">
        <f>'Emissions Reductions'!I18+'Emissions Reductions'!I34</f>
        <v>0.14124139866127877</v>
      </c>
      <c r="J59" s="80">
        <f>'Emissions Reductions'!J18+'Emissions Reductions'!J34</f>
        <v>0.14718098053195686</v>
      </c>
      <c r="K59" s="80">
        <f>'Emissions Reductions'!K18+'Emissions Reductions'!K34</f>
        <v>0.15269351872389259</v>
      </c>
      <c r="L59" s="80">
        <f>'Emissions Reductions'!L18+'Emissions Reductions'!L34</f>
        <v>0.15776272663137292</v>
      </c>
      <c r="M59" s="80">
        <f>'Emissions Reductions'!M18+'Emissions Reductions'!M34</f>
        <v>0.16237231764868479</v>
      </c>
      <c r="N59" s="80">
        <f>'Emissions Reductions'!N18+'Emissions Reductions'!N34</f>
        <v>0.16650600517011516</v>
      </c>
      <c r="O59" s="80">
        <f>'Emissions Reductions'!O18+'Emissions Reductions'!O34</f>
        <v>0.17014750258995093</v>
      </c>
      <c r="P59" s="80">
        <f>'Emissions Reductions'!P18+'Emissions Reductions'!P34</f>
        <v>0.17328052330247909</v>
      </c>
      <c r="Q59" s="80">
        <f>'Emissions Reductions'!Q18+'Emissions Reductions'!Q34</f>
        <v>0.17588878070198655</v>
      </c>
      <c r="R59" s="80">
        <f>'Emissions Reductions'!R18+'Emissions Reductions'!R34</f>
        <v>0.17795598818276026</v>
      </c>
      <c r="S59" s="80">
        <f>'Emissions Reductions'!S18+'Emissions Reductions'!S34</f>
        <v>0.17946585913908725</v>
      </c>
      <c r="T59" s="80">
        <f>'Emissions Reductions'!T18+'Emissions Reductions'!T34</f>
        <v>4.5746120457592229E-2</v>
      </c>
      <c r="U59" s="80">
        <f>'Emissions Reductions'!U18+'Emissions Reductions'!U34</f>
        <v>4.6636451678143523E-2</v>
      </c>
      <c r="V59" s="80">
        <f>'Emissions Reductions'!V18+'Emissions Reductions'!V34</f>
        <v>4.751971648309055E-2</v>
      </c>
      <c r="W59" s="80">
        <f>'Emissions Reductions'!W18+'Emissions Reductions'!W34</f>
        <v>4.8395720243935958E-2</v>
      </c>
      <c r="X59" s="80">
        <f>'Emissions Reductions'!X18+'Emissions Reductions'!X34</f>
        <v>4.9264268332182316E-2</v>
      </c>
      <c r="Y59" s="80">
        <f>'Emissions Reductions'!Y18+'Emissions Reductions'!Y34</f>
        <v>5.0125166119332182E-2</v>
      </c>
      <c r="Z59" s="80">
        <f>'Emissions Reductions'!Z18+'Emissions Reductions'!Z34</f>
        <v>5.0978218976888194E-2</v>
      </c>
      <c r="AA59" s="80">
        <f>'Emissions Reductions'!AA18+'Emissions Reductions'!AA34</f>
        <v>5.1823232276352903E-2</v>
      </c>
      <c r="AB59" s="80">
        <f>'Emissions Reductions'!AB18+'Emissions Reductions'!AB34</f>
        <v>5.2660011389228899E-2</v>
      </c>
      <c r="AC59" s="80">
        <f>'Emissions Reductions'!AC18+'Emissions Reductions'!AC34</f>
        <v>5.3488361687018787E-2</v>
      </c>
      <c r="AD59" s="80">
        <f>'Emissions Reductions'!AD18+'Emissions Reductions'!AD34</f>
        <v>5.4308088541225132E-2</v>
      </c>
      <c r="AE59" s="80">
        <f>'Emissions Reductions'!AE18+'Emissions Reductions'!AE34</f>
        <v>5.5471031544115687E-2</v>
      </c>
      <c r="AF59" s="80">
        <f>'Emissions Reductions'!AF18+'Emissions Reductions'!AF34</f>
        <v>5.664049883424796E-2</v>
      </c>
      <c r="AG59" s="80">
        <f>'Emissions Reductions'!AG18+'Emissions Reductions'!AG34</f>
        <v>5.7816464753349207E-2</v>
      </c>
      <c r="AH59" s="80">
        <f>'Emissions Reductions'!AH18+'Emissions Reductions'!AH34</f>
        <v>5.8998903643146819E-2</v>
      </c>
      <c r="AI59" s="80">
        <f>'Emissions Reductions'!AI18+'Emissions Reductions'!AI34</f>
        <v>6.0187789845368052E-2</v>
      </c>
      <c r="AJ59" s="80">
        <f>'Emissions Reductions'!AJ18+'Emissions Reductions'!AJ34</f>
        <v>6.138309770174024E-2</v>
      </c>
      <c r="AK59" s="80">
        <f>'Emissions Reductions'!AK18+'Emissions Reductions'!AK34</f>
        <v>6.2584801553990682E-2</v>
      </c>
      <c r="AL59" s="80">
        <f>'Emissions Reductions'!AL18+'Emissions Reductions'!AL34</f>
        <v>6.3792875743846733E-2</v>
      </c>
      <c r="AM59" s="80">
        <f>'Emissions Reductions'!AM18+'Emissions Reductions'!AM34</f>
        <v>6.5007294613035657E-2</v>
      </c>
      <c r="AN59" s="80">
        <f>'Emissions Reductions'!AN18+'Emissions Reductions'!AN34</f>
        <v>6.6228032503284781E-2</v>
      </c>
      <c r="AO59" s="80">
        <f>'Emissions Reductions'!AO18+'Emissions Reductions'!AO34</f>
        <v>6.7455063756321418E-2</v>
      </c>
      <c r="AP59" s="80">
        <f>'Emissions Reductions'!AP18+'Emissions Reductions'!AP34</f>
        <v>6.8688362713872908E-2</v>
      </c>
      <c r="AQ59" s="80">
        <f>'Emissions Reductions'!AQ18+'Emissions Reductions'!AQ34</f>
        <v>6.9927903717666509E-2</v>
      </c>
      <c r="AR59" s="80">
        <f>'Emissions Reductions'!AR18+'Emissions Reductions'!AR34</f>
        <v>7.1173661109429576E-2</v>
      </c>
      <c r="AS59" s="80">
        <f>'Emissions Reductions'!AS18+'Emissions Reductions'!AS34</f>
        <v>7.2425609230889407E-2</v>
      </c>
    </row>
    <row r="60" spans="1:45">
      <c r="A60" s="39" t="s">
        <v>94</v>
      </c>
      <c r="B60" s="39"/>
      <c r="C60" s="39"/>
      <c r="D60" s="83">
        <f>SUM(E60:AS60)</f>
        <v>6.2365744663843019</v>
      </c>
      <c r="E60" s="113">
        <f>E58-E59</f>
        <v>0</v>
      </c>
      <c r="F60" s="113">
        <f t="shared" ref="F60:AF60" si="32">F58-F59</f>
        <v>0</v>
      </c>
      <c r="G60" s="113">
        <f t="shared" si="32"/>
        <v>0</v>
      </c>
      <c r="H60" s="113">
        <f t="shared" si="32"/>
        <v>0</v>
      </c>
      <c r="I60" s="113">
        <f t="shared" si="32"/>
        <v>0</v>
      </c>
      <c r="J60" s="113">
        <f t="shared" si="32"/>
        <v>0</v>
      </c>
      <c r="K60" s="113">
        <f t="shared" si="32"/>
        <v>0</v>
      </c>
      <c r="L60" s="113">
        <f t="shared" si="32"/>
        <v>0</v>
      </c>
      <c r="M60" s="113">
        <f t="shared" si="32"/>
        <v>0</v>
      </c>
      <c r="N60" s="113">
        <f t="shared" si="32"/>
        <v>0</v>
      </c>
      <c r="O60" s="113">
        <f t="shared" si="32"/>
        <v>0</v>
      </c>
      <c r="P60" s="113">
        <f t="shared" si="32"/>
        <v>0</v>
      </c>
      <c r="Q60" s="113">
        <f t="shared" si="32"/>
        <v>0</v>
      </c>
      <c r="R60" s="113">
        <f t="shared" si="32"/>
        <v>0</v>
      </c>
      <c r="S60" s="113">
        <f t="shared" si="32"/>
        <v>0</v>
      </c>
      <c r="T60" s="113">
        <f t="shared" si="32"/>
        <v>0.13465598650766214</v>
      </c>
      <c r="U60" s="113">
        <f t="shared" si="32"/>
        <v>0.14156164098130036</v>
      </c>
      <c r="V60" s="113">
        <f t="shared" si="32"/>
        <v>0.14856175503563609</v>
      </c>
      <c r="W60" s="113">
        <f t="shared" si="32"/>
        <v>0.15565361096384794</v>
      </c>
      <c r="X60" s="113">
        <f t="shared" si="32"/>
        <v>0.16283449105911493</v>
      </c>
      <c r="Y60" s="113">
        <f t="shared" si="32"/>
        <v>0.17010167761461548</v>
      </c>
      <c r="Z60" s="113">
        <f t="shared" si="32"/>
        <v>0.17745245292352838</v>
      </c>
      <c r="AA60" s="113">
        <f t="shared" si="32"/>
        <v>0.1848840992790324</v>
      </c>
      <c r="AB60" s="113">
        <f t="shared" si="32"/>
        <v>0.19239389897430623</v>
      </c>
      <c r="AC60" s="113">
        <f t="shared" si="32"/>
        <v>0.19997913430252853</v>
      </c>
      <c r="AD60" s="113">
        <f t="shared" si="32"/>
        <v>0.20763708755687812</v>
      </c>
      <c r="AE60" s="113">
        <f t="shared" si="32"/>
        <v>0.21710474799186541</v>
      </c>
      <c r="AF60" s="113">
        <f t="shared" si="32"/>
        <v>0.22677065129833049</v>
      </c>
      <c r="AG60" s="113">
        <f t="shared" ref="AG60:AH60" si="33">AG58-AG59</f>
        <v>0.23663433981561802</v>
      </c>
      <c r="AH60" s="113">
        <f t="shared" si="33"/>
        <v>0.24669535588307173</v>
      </c>
      <c r="AI60" s="113">
        <f t="shared" ref="AI60:AR60" si="34">AI58-AI59</f>
        <v>0.25695324184003632</v>
      </c>
      <c r="AJ60" s="113">
        <f t="shared" si="34"/>
        <v>0.26740754002585593</v>
      </c>
      <c r="AK60" s="113">
        <f t="shared" si="34"/>
        <v>0.27805779277987486</v>
      </c>
      <c r="AL60" s="113">
        <f t="shared" si="34"/>
        <v>0.28890354244143729</v>
      </c>
      <c r="AM60" s="113">
        <f t="shared" si="34"/>
        <v>0.29994433134988741</v>
      </c>
      <c r="AN60" s="113">
        <f t="shared" si="34"/>
        <v>0.31117970184456967</v>
      </c>
      <c r="AO60" s="113">
        <f t="shared" si="34"/>
        <v>0.32260919626482831</v>
      </c>
      <c r="AP60" s="113">
        <f t="shared" si="34"/>
        <v>0.33423235695000747</v>
      </c>
      <c r="AQ60" s="113">
        <f t="shared" si="34"/>
        <v>0.3460487262394516</v>
      </c>
      <c r="AR60" s="113">
        <f t="shared" si="34"/>
        <v>0.35805784647250466</v>
      </c>
      <c r="AS60" s="113">
        <f t="shared" ref="AS60" si="35">AS58-AS59</f>
        <v>0.37025925998851134</v>
      </c>
    </row>
    <row r="61" spans="1:45">
      <c r="A61" s="23"/>
      <c r="B61" s="23"/>
      <c r="C61" s="23"/>
      <c r="D61" s="146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</row>
    <row r="62" spans="1:45" s="31" customFormat="1" ht="15">
      <c r="A62" s="31" t="s">
        <v>253</v>
      </c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12"/>
      <c r="AA62" s="112"/>
      <c r="AB62" s="112"/>
      <c r="AC62" s="112"/>
      <c r="AD62" s="112"/>
      <c r="AE62" s="112"/>
      <c r="AF62" s="112"/>
      <c r="AG62" s="112"/>
      <c r="AH62" s="112"/>
      <c r="AI62" s="112"/>
      <c r="AJ62" s="112"/>
      <c r="AK62" s="112"/>
      <c r="AL62" s="112"/>
      <c r="AM62" s="112"/>
      <c r="AN62" s="112"/>
      <c r="AO62" s="112"/>
      <c r="AP62" s="112"/>
      <c r="AQ62" s="112"/>
      <c r="AR62" s="112"/>
      <c r="AS62" s="112"/>
    </row>
    <row r="63" spans="1:45">
      <c r="A63" s="37" t="str">
        <f>"BASELINE (No "&amp;'BCA Summary'!$E$1&amp;" Grant) annual short tons of SO2"</f>
        <v>BASELINE (No BUILD Grant Grant) annual short tons of SO2</v>
      </c>
      <c r="B63" s="37"/>
      <c r="C63" s="37"/>
      <c r="D63" s="81">
        <f>SUM(E63:AS63)</f>
        <v>7.5363533750377146E-2</v>
      </c>
      <c r="E63" s="236">
        <f>'Emissions Reductions'!E22+'Emissions Reductions'!E38</f>
        <v>7.2593435295495131E-4</v>
      </c>
      <c r="F63" s="236">
        <f>'Emissions Reductions'!F22+'Emissions Reductions'!F38</f>
        <v>8.0627752006935498E-4</v>
      </c>
      <c r="G63" s="236">
        <f>'Emissions Reductions'!G22+'Emissions Reductions'!G38</f>
        <v>8.8290767496623703E-4</v>
      </c>
      <c r="H63" s="236">
        <f>'Emissions Reductions'!H22+'Emissions Reductions'!H38</f>
        <v>9.5582312377084813E-4</v>
      </c>
      <c r="I63" s="236">
        <f>'Emissions Reductions'!I22+'Emissions Reductions'!I38</f>
        <v>1.0250221726084388E-3</v>
      </c>
      <c r="J63" s="236">
        <f>'Emissions Reductions'!J22+'Emissions Reductions'!J38</f>
        <v>1.0905031276042612E-3</v>
      </c>
      <c r="K63" s="236">
        <f>'Emissions Reductions'!K22+'Emissions Reductions'!K38</f>
        <v>1.1522642948835642E-3</v>
      </c>
      <c r="L63" s="236">
        <f>'Emissions Reductions'!L22+'Emissions Reductions'!L38</f>
        <v>1.2103039805716007E-3</v>
      </c>
      <c r="M63" s="236">
        <f>'Emissions Reductions'!M22+'Emissions Reductions'!M38</f>
        <v>1.2646204907936203E-3</v>
      </c>
      <c r="N63" s="236">
        <f>'Emissions Reductions'!N22+'Emissions Reductions'!N38</f>
        <v>1.315212131674874E-3</v>
      </c>
      <c r="O63" s="236">
        <f>'Emissions Reductions'!O22+'Emissions Reductions'!O38</f>
        <v>1.3620772093406127E-3</v>
      </c>
      <c r="P63" s="236">
        <f>'Emissions Reductions'!P22+'Emissions Reductions'!P38</f>
        <v>1.4052140299160877E-3</v>
      </c>
      <c r="Q63" s="236">
        <f>'Emissions Reductions'!Q22+'Emissions Reductions'!Q38</f>
        <v>1.4446208995265494E-3</v>
      </c>
      <c r="R63" s="236">
        <f>'Emissions Reductions'!R22+'Emissions Reductions'!R38</f>
        <v>1.4802961242972479E-3</v>
      </c>
      <c r="S63" s="236">
        <f>'Emissions Reductions'!S22+'Emissions Reductions'!S38</f>
        <v>1.5122380103534364E-3</v>
      </c>
      <c r="T63" s="236">
        <f>'Emissions Reductions'!T22+'Emissions Reductions'!T38</f>
        <v>1.5404448638203637E-3</v>
      </c>
      <c r="U63" s="236">
        <f>'Emissions Reductions'!U22+'Emissions Reductions'!U38</f>
        <v>1.5965112874331642E-3</v>
      </c>
      <c r="V63" s="236">
        <f>'Emissions Reductions'!V22+'Emissions Reductions'!V38</f>
        <v>1.651536074661045E-3</v>
      </c>
      <c r="W63" s="236">
        <f>'Emissions Reductions'!W22+'Emissions Reductions'!W38</f>
        <v>1.7055175316292581E-3</v>
      </c>
      <c r="X63" s="236">
        <f>'Emissions Reductions'!X22+'Emissions Reductions'!X38</f>
        <v>1.7584539644630527E-3</v>
      </c>
      <c r="Y63" s="236">
        <f>'Emissions Reductions'!Y22+'Emissions Reductions'!Y38</f>
        <v>1.8103436792876806E-3</v>
      </c>
      <c r="Z63" s="236">
        <f>'Emissions Reductions'!Z22+'Emissions Reductions'!Z38</f>
        <v>1.8611849822283929E-3</v>
      </c>
      <c r="AA63" s="236">
        <f>'Emissions Reductions'!AA22+'Emissions Reductions'!AA38</f>
        <v>1.9109761794104401E-3</v>
      </c>
      <c r="AB63" s="236">
        <f>'Emissions Reductions'!AB22+'Emissions Reductions'!AB38</f>
        <v>1.959715576959072E-3</v>
      </c>
      <c r="AC63" s="236">
        <f>'Emissions Reductions'!AC22+'Emissions Reductions'!AC38</f>
        <v>2.0074014809995399E-3</v>
      </c>
      <c r="AD63" s="236">
        <f>'Emissions Reductions'!AD22+'Emissions Reductions'!AD38</f>
        <v>2.0540321976570963E-3</v>
      </c>
      <c r="AE63" s="236">
        <f>'Emissions Reductions'!AE22+'Emissions Reductions'!AE38</f>
        <v>2.1138028565290275E-3</v>
      </c>
      <c r="AF63" s="236">
        <f>'Emissions Reductions'!AF22+'Emissions Reductions'!AF38</f>
        <v>2.1733791203277582E-3</v>
      </c>
      <c r="AG63" s="236">
        <f>'Emissions Reductions'!AG22+'Emissions Reductions'!AG38</f>
        <v>2.2327609890532901E-3</v>
      </c>
      <c r="AH63" s="236">
        <f>'Emissions Reductions'!AH22+'Emissions Reductions'!AH38</f>
        <v>2.2919484627056215E-3</v>
      </c>
      <c r="AI63" s="236">
        <f>'Emissions Reductions'!AI22+'Emissions Reductions'!AI38</f>
        <v>2.3509415412847541E-3</v>
      </c>
      <c r="AJ63" s="236">
        <f>'Emissions Reductions'!AJ22+'Emissions Reductions'!AJ38</f>
        <v>2.4097402247906874E-3</v>
      </c>
      <c r="AK63" s="236">
        <f>'Emissions Reductions'!AK22+'Emissions Reductions'!AK38</f>
        <v>2.4683445132234198E-3</v>
      </c>
      <c r="AL63" s="236">
        <f>'Emissions Reductions'!AL22+'Emissions Reductions'!AL38</f>
        <v>2.526754406582953E-3</v>
      </c>
      <c r="AM63" s="236">
        <f>'Emissions Reductions'!AM22+'Emissions Reductions'!AM38</f>
        <v>2.5849699048692875E-3</v>
      </c>
      <c r="AN63" s="236">
        <f>'Emissions Reductions'!AN22+'Emissions Reductions'!AN38</f>
        <v>2.6429910080824218E-3</v>
      </c>
      <c r="AO63" s="236">
        <f>'Emissions Reductions'!AO22+'Emissions Reductions'!AO38</f>
        <v>2.7008177162223565E-3</v>
      </c>
      <c r="AP63" s="236">
        <f>'Emissions Reductions'!AP22+'Emissions Reductions'!AP38</f>
        <v>2.7584500292890911E-3</v>
      </c>
      <c r="AQ63" s="236">
        <f>'Emissions Reductions'!AQ22+'Emissions Reductions'!AQ38</f>
        <v>2.8158879472826269E-3</v>
      </c>
      <c r="AR63" s="236">
        <f>'Emissions Reductions'!AR22+'Emissions Reductions'!AR38</f>
        <v>2.8731314702029618E-3</v>
      </c>
      <c r="AS63" s="236">
        <f>'Emissions Reductions'!AS22+'Emissions Reductions'!AS38</f>
        <v>2.9301805980500991E-3</v>
      </c>
    </row>
    <row r="64" spans="1:45">
      <c r="A64" s="26" t="str">
        <f>"PREFERRED (With "&amp;'BCA Summary'!$E$1&amp;" Grant) annual short tons of SO2"</f>
        <v>PREFERRED (With BUILD Grant Grant) annual short tons of SO2</v>
      </c>
      <c r="B64" s="26"/>
      <c r="C64" s="26"/>
      <c r="D64" s="82">
        <f>SUM(E64:AS64)</f>
        <v>2.5687671635772357E-2</v>
      </c>
      <c r="E64" s="234">
        <f>'Emissions Reductions'!E23+'Emissions Reductions'!E39</f>
        <v>7.2593435295495131E-4</v>
      </c>
      <c r="F64" s="234">
        <f>'Emissions Reductions'!F23+'Emissions Reductions'!F39</f>
        <v>8.0627752006935498E-4</v>
      </c>
      <c r="G64" s="234">
        <f>'Emissions Reductions'!G23+'Emissions Reductions'!G39</f>
        <v>8.8290767496623703E-4</v>
      </c>
      <c r="H64" s="234">
        <f>'Emissions Reductions'!H23+'Emissions Reductions'!H39</f>
        <v>9.5582312377084813E-4</v>
      </c>
      <c r="I64" s="234">
        <f>'Emissions Reductions'!I23+'Emissions Reductions'!I39</f>
        <v>1.0250221726084388E-3</v>
      </c>
      <c r="J64" s="234">
        <f>'Emissions Reductions'!J23+'Emissions Reductions'!J39</f>
        <v>1.0905031276042612E-3</v>
      </c>
      <c r="K64" s="234">
        <f>'Emissions Reductions'!K23+'Emissions Reductions'!K39</f>
        <v>1.1522642948835642E-3</v>
      </c>
      <c r="L64" s="234">
        <f>'Emissions Reductions'!L23+'Emissions Reductions'!L39</f>
        <v>1.2103039805716007E-3</v>
      </c>
      <c r="M64" s="234">
        <f>'Emissions Reductions'!M23+'Emissions Reductions'!M39</f>
        <v>1.2646204907936203E-3</v>
      </c>
      <c r="N64" s="234">
        <f>'Emissions Reductions'!N23+'Emissions Reductions'!N39</f>
        <v>1.315212131674874E-3</v>
      </c>
      <c r="O64" s="234">
        <f>'Emissions Reductions'!O23+'Emissions Reductions'!O39</f>
        <v>1.3620772093406127E-3</v>
      </c>
      <c r="P64" s="234">
        <f>'Emissions Reductions'!P23+'Emissions Reductions'!P39</f>
        <v>1.4052140299160877E-3</v>
      </c>
      <c r="Q64" s="234">
        <f>'Emissions Reductions'!Q23+'Emissions Reductions'!Q39</f>
        <v>1.4446208995265494E-3</v>
      </c>
      <c r="R64" s="234">
        <f>'Emissions Reductions'!R23+'Emissions Reductions'!R39</f>
        <v>1.4802961242972479E-3</v>
      </c>
      <c r="S64" s="234">
        <f>'Emissions Reductions'!S23+'Emissions Reductions'!S39</f>
        <v>1.5122380103534364E-3</v>
      </c>
      <c r="T64" s="234">
        <f>'Emissions Reductions'!T23+'Emissions Reductions'!T39</f>
        <v>2.4849978998676302E-4</v>
      </c>
      <c r="U64" s="234">
        <f>'Emissions Reductions'!U23+'Emissions Reductions'!U39</f>
        <v>2.5300838356063084E-4</v>
      </c>
      <c r="V64" s="234">
        <f>'Emissions Reductions'!V23+'Emissions Reductions'!V39</f>
        <v>2.574615644713102E-4</v>
      </c>
      <c r="W64" s="234">
        <f>'Emissions Reductions'!W23+'Emissions Reductions'!W39</f>
        <v>2.6185807581984878E-4</v>
      </c>
      <c r="X64" s="234">
        <f>'Emissions Reductions'!X23+'Emissions Reductions'!X39</f>
        <v>2.6619666070729433E-4</v>
      </c>
      <c r="Y64" s="234">
        <f>'Emissions Reductions'!Y23+'Emissions Reductions'!Y39</f>
        <v>2.7047606223469425E-4</v>
      </c>
      <c r="Z64" s="234">
        <f>'Emissions Reductions'!Z23+'Emissions Reductions'!Z39</f>
        <v>2.7469502350309632E-4</v>
      </c>
      <c r="AA64" s="234">
        <f>'Emissions Reductions'!AA23+'Emissions Reductions'!AA39</f>
        <v>2.7885228761354806E-4</v>
      </c>
      <c r="AB64" s="234">
        <f>'Emissions Reductions'!AB23+'Emissions Reductions'!AB39</f>
        <v>2.8294659766709709E-4</v>
      </c>
      <c r="AC64" s="234">
        <f>'Emissions Reductions'!AC23+'Emissions Reductions'!AC39</f>
        <v>2.8697669676479103E-4</v>
      </c>
      <c r="AD64" s="234">
        <f>'Emissions Reductions'!AD23+'Emissions Reductions'!AD39</f>
        <v>2.9094132800767752E-4</v>
      </c>
      <c r="AE64" s="234">
        <f>'Emissions Reductions'!AE23+'Emissions Reductions'!AE39</f>
        <v>2.9683754758674921E-4</v>
      </c>
      <c r="AF64" s="234">
        <f>'Emissions Reductions'!AF23+'Emissions Reductions'!AF39</f>
        <v>3.0275398082000698E-4</v>
      </c>
      <c r="AG64" s="234">
        <f>'Emissions Reductions'!AG23+'Emissions Reductions'!AG39</f>
        <v>3.0869032996358063E-4</v>
      </c>
      <c r="AH64" s="234">
        <f>'Emissions Reductions'!AH23+'Emissions Reductions'!AH39</f>
        <v>3.1464629727359986E-4</v>
      </c>
      <c r="AI64" s="234">
        <f>'Emissions Reductions'!AI23+'Emissions Reductions'!AI39</f>
        <v>3.2062158500619403E-4</v>
      </c>
      <c r="AJ64" s="234">
        <f>'Emissions Reductions'!AJ23+'Emissions Reductions'!AJ39</f>
        <v>3.2661589541749285E-4</v>
      </c>
      <c r="AK64" s="234">
        <f>'Emissions Reductions'!AK23+'Emissions Reductions'!AK39</f>
        <v>3.3262893076362591E-4</v>
      </c>
      <c r="AL64" s="234">
        <f>'Emissions Reductions'!AL23+'Emissions Reductions'!AL39</f>
        <v>3.3866039330072295E-4</v>
      </c>
      <c r="AM64" s="234">
        <f>'Emissions Reductions'!AM23+'Emissions Reductions'!AM39</f>
        <v>3.4470998528491335E-4</v>
      </c>
      <c r="AN64" s="234">
        <f>'Emissions Reductions'!AN23+'Emissions Reductions'!AN39</f>
        <v>3.5077740897232685E-4</v>
      </c>
      <c r="AO64" s="234">
        <f>'Emissions Reductions'!AO23+'Emissions Reductions'!AO39</f>
        <v>3.5686236661909299E-4</v>
      </c>
      <c r="AP64" s="234">
        <f>'Emissions Reductions'!AP23+'Emissions Reductions'!AP39</f>
        <v>3.6296456048134148E-4</v>
      </c>
      <c r="AQ64" s="234">
        <f>'Emissions Reductions'!AQ23+'Emissions Reductions'!AQ39</f>
        <v>3.6908369281520172E-4</v>
      </c>
      <c r="AR64" s="234">
        <f>'Emissions Reductions'!AR23+'Emissions Reductions'!AR39</f>
        <v>3.7521946587680348E-4</v>
      </c>
      <c r="AS64" s="234">
        <f>'Emissions Reductions'!AS23+'Emissions Reductions'!AS39</f>
        <v>3.8137158192227646E-4</v>
      </c>
    </row>
    <row r="65" spans="1:45">
      <c r="A65" s="39" t="s">
        <v>380</v>
      </c>
      <c r="B65" s="39"/>
      <c r="C65" s="39"/>
      <c r="D65" s="83">
        <f>SUM(E65:AS65)</f>
        <v>4.9675862114604778E-2</v>
      </c>
      <c r="E65" s="235">
        <f>E63-E64</f>
        <v>0</v>
      </c>
      <c r="F65" s="235">
        <f t="shared" ref="F65:AS65" si="36">F63-F64</f>
        <v>0</v>
      </c>
      <c r="G65" s="235">
        <f t="shared" si="36"/>
        <v>0</v>
      </c>
      <c r="H65" s="235">
        <f t="shared" si="36"/>
        <v>0</v>
      </c>
      <c r="I65" s="235">
        <f t="shared" si="36"/>
        <v>0</v>
      </c>
      <c r="J65" s="235">
        <f t="shared" si="36"/>
        <v>0</v>
      </c>
      <c r="K65" s="235">
        <f t="shared" si="36"/>
        <v>0</v>
      </c>
      <c r="L65" s="235">
        <f t="shared" si="36"/>
        <v>0</v>
      </c>
      <c r="M65" s="235">
        <f t="shared" si="36"/>
        <v>0</v>
      </c>
      <c r="N65" s="235">
        <f t="shared" si="36"/>
        <v>0</v>
      </c>
      <c r="O65" s="235">
        <f t="shared" si="36"/>
        <v>0</v>
      </c>
      <c r="P65" s="235">
        <f t="shared" si="36"/>
        <v>0</v>
      </c>
      <c r="Q65" s="235">
        <f t="shared" si="36"/>
        <v>0</v>
      </c>
      <c r="R65" s="235">
        <f t="shared" si="36"/>
        <v>0</v>
      </c>
      <c r="S65" s="235">
        <f t="shared" si="36"/>
        <v>0</v>
      </c>
      <c r="T65" s="235">
        <f t="shared" si="36"/>
        <v>1.2919450738336008E-3</v>
      </c>
      <c r="U65" s="235">
        <f t="shared" si="36"/>
        <v>1.3435029038725334E-3</v>
      </c>
      <c r="V65" s="235">
        <f t="shared" si="36"/>
        <v>1.3940745101897348E-3</v>
      </c>
      <c r="W65" s="235">
        <f t="shared" si="36"/>
        <v>1.4436594558094092E-3</v>
      </c>
      <c r="X65" s="235">
        <f t="shared" si="36"/>
        <v>1.4922573037557583E-3</v>
      </c>
      <c r="Y65" s="235">
        <f t="shared" si="36"/>
        <v>1.5398676170529863E-3</v>
      </c>
      <c r="Z65" s="235">
        <f t="shared" si="36"/>
        <v>1.5864899587252966E-3</v>
      </c>
      <c r="AA65" s="235">
        <f t="shared" si="36"/>
        <v>1.6321238917968921E-3</v>
      </c>
      <c r="AB65" s="235">
        <f t="shared" si="36"/>
        <v>1.6767689792919749E-3</v>
      </c>
      <c r="AC65" s="235">
        <f t="shared" si="36"/>
        <v>1.7204247842347489E-3</v>
      </c>
      <c r="AD65" s="235">
        <f t="shared" si="36"/>
        <v>1.7630908696494188E-3</v>
      </c>
      <c r="AE65" s="235">
        <f t="shared" si="36"/>
        <v>1.8169653089422783E-3</v>
      </c>
      <c r="AF65" s="235">
        <f t="shared" si="36"/>
        <v>1.8706251395077512E-3</v>
      </c>
      <c r="AG65" s="235">
        <f t="shared" si="36"/>
        <v>1.9240706590897094E-3</v>
      </c>
      <c r="AH65" s="235">
        <f t="shared" si="36"/>
        <v>1.9773021654320216E-3</v>
      </c>
      <c r="AI65" s="235">
        <f t="shared" si="36"/>
        <v>2.0303199562785599E-3</v>
      </c>
      <c r="AJ65" s="235">
        <f t="shared" si="36"/>
        <v>2.0831243293731945E-3</v>
      </c>
      <c r="AK65" s="235">
        <f t="shared" si="36"/>
        <v>2.1357155824597938E-3</v>
      </c>
      <c r="AL65" s="235">
        <f t="shared" si="36"/>
        <v>2.1880940132822302E-3</v>
      </c>
      <c r="AM65" s="235">
        <f t="shared" si="36"/>
        <v>2.240259919584374E-3</v>
      </c>
      <c r="AN65" s="235">
        <f t="shared" si="36"/>
        <v>2.2922135991100948E-3</v>
      </c>
      <c r="AO65" s="235">
        <f t="shared" si="36"/>
        <v>2.3439553496032634E-3</v>
      </c>
      <c r="AP65" s="235">
        <f t="shared" si="36"/>
        <v>2.3954854688077497E-3</v>
      </c>
      <c r="AQ65" s="235">
        <f t="shared" si="36"/>
        <v>2.4468042544674253E-3</v>
      </c>
      <c r="AR65" s="235">
        <f t="shared" si="36"/>
        <v>2.4979120043261581E-3</v>
      </c>
      <c r="AS65" s="235">
        <f t="shared" si="36"/>
        <v>2.5488090161278226E-3</v>
      </c>
    </row>
    <row r="66" spans="1:45">
      <c r="A66" s="23"/>
      <c r="B66" s="23"/>
      <c r="C66" s="23"/>
      <c r="D66" s="146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</row>
    <row r="67" spans="1:45" s="31" customFormat="1" ht="15">
      <c r="A67" s="31" t="s">
        <v>100</v>
      </c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2"/>
      <c r="Z67" s="112"/>
      <c r="AA67" s="112"/>
      <c r="AB67" s="112"/>
      <c r="AC67" s="112"/>
      <c r="AD67" s="112"/>
      <c r="AE67" s="112"/>
      <c r="AF67" s="112"/>
      <c r="AG67" s="112"/>
      <c r="AH67" s="112"/>
      <c r="AI67" s="112"/>
      <c r="AJ67" s="112"/>
      <c r="AK67" s="112"/>
      <c r="AL67" s="112"/>
      <c r="AM67" s="112"/>
      <c r="AN67" s="112"/>
      <c r="AO67" s="112"/>
      <c r="AP67" s="112"/>
      <c r="AQ67" s="112"/>
      <c r="AR67" s="112"/>
      <c r="AS67" s="112"/>
    </row>
    <row r="68" spans="1:45">
      <c r="A68" s="37" t="str">
        <f>"BASELINE (No "&amp;'BCA Summary'!$E$1&amp;" Grant) annual short tons of PM 2.5"</f>
        <v>BASELINE (No BUILD Grant Grant) annual short tons of PM 2.5</v>
      </c>
      <c r="B68" s="37"/>
      <c r="C68" s="37"/>
      <c r="D68" s="81">
        <f>SUM(E68:AS68)</f>
        <v>0.11099859855082618</v>
      </c>
      <c r="E68" s="236">
        <f>'Emissions Reductions'!E27+'Emissions Reductions'!E43</f>
        <v>2.7454190982344161E-3</v>
      </c>
      <c r="F68" s="236">
        <f>'Emissions Reductions'!F27+'Emissions Reductions'!F43</f>
        <v>2.8613241147740849E-3</v>
      </c>
      <c r="G68" s="236">
        <f>'Emissions Reductions'!G27+'Emissions Reductions'!G43</f>
        <v>2.9606876729287835E-3</v>
      </c>
      <c r="H68" s="236">
        <f>'Emissions Reductions'!H27+'Emissions Reductions'!H43</f>
        <v>3.0422252510137427E-3</v>
      </c>
      <c r="I68" s="236">
        <f>'Emissions Reductions'!I27+'Emissions Reductions'!I43</f>
        <v>3.1046523273441915E-3</v>
      </c>
      <c r="J68" s="236">
        <f>'Emissions Reductions'!J27+'Emissions Reductions'!J43</f>
        <v>3.1466843802353608E-3</v>
      </c>
      <c r="K68" s="236">
        <f>'Emissions Reductions'!K27+'Emissions Reductions'!K43</f>
        <v>3.1670368880024791E-3</v>
      </c>
      <c r="L68" s="236">
        <f>'Emissions Reductions'!L27+'Emissions Reductions'!L43</f>
        <v>3.1644253289607768E-3</v>
      </c>
      <c r="M68" s="236">
        <f>'Emissions Reductions'!M27+'Emissions Reductions'!M43</f>
        <v>3.137565181425485E-3</v>
      </c>
      <c r="N68" s="236">
        <f>'Emissions Reductions'!N27+'Emissions Reductions'!N43</f>
        <v>3.0851719237118308E-3</v>
      </c>
      <c r="O68" s="236">
        <f>'Emissions Reductions'!O27+'Emissions Reductions'!O43</f>
        <v>3.0059610341350452E-3</v>
      </c>
      <c r="P68" s="236">
        <f>'Emissions Reductions'!P27+'Emissions Reductions'!P43</f>
        <v>2.8986479910103587E-3</v>
      </c>
      <c r="Q68" s="236">
        <f>'Emissions Reductions'!Q27+'Emissions Reductions'!Q43</f>
        <v>2.7619482726529993E-3</v>
      </c>
      <c r="R68" s="236">
        <f>'Emissions Reductions'!R27+'Emissions Reductions'!R43</f>
        <v>2.594577357378198E-3</v>
      </c>
      <c r="S68" s="236">
        <f>'Emissions Reductions'!S27+'Emissions Reductions'!S43</f>
        <v>2.3952507235011854E-3</v>
      </c>
      <c r="T68" s="236">
        <f>'Emissions Reductions'!T27+'Emissions Reductions'!T43</f>
        <v>2.1626838493371903E-3</v>
      </c>
      <c r="U68" s="236">
        <f>'Emissions Reductions'!U27+'Emissions Reductions'!U43</f>
        <v>2.1978425510192781E-3</v>
      </c>
      <c r="V68" s="236">
        <f>'Emissions Reductions'!V27+'Emissions Reductions'!V43</f>
        <v>2.2277218826594457E-3</v>
      </c>
      <c r="W68" s="236">
        <f>'Emissions Reductions'!W27+'Emissions Reductions'!W43</f>
        <v>2.2521332595356203E-3</v>
      </c>
      <c r="X68" s="236">
        <f>'Emissions Reductions'!X27+'Emissions Reductions'!X43</f>
        <v>2.2708880969257304E-3</v>
      </c>
      <c r="Y68" s="236">
        <f>'Emissions Reductions'!Y27+'Emissions Reductions'!Y43</f>
        <v>2.2837978101077037E-3</v>
      </c>
      <c r="Z68" s="236">
        <f>'Emissions Reductions'!Z27+'Emissions Reductions'!Z43</f>
        <v>2.2906738143594696E-3</v>
      </c>
      <c r="AA68" s="236">
        <f>'Emissions Reductions'!AA27+'Emissions Reductions'!AA43</f>
        <v>2.2913275249589549E-3</v>
      </c>
      <c r="AB68" s="236">
        <f>'Emissions Reductions'!AB27+'Emissions Reductions'!AB43</f>
        <v>2.2855703571840885E-3</v>
      </c>
      <c r="AC68" s="236">
        <f>'Emissions Reductions'!AC27+'Emissions Reductions'!AC43</f>
        <v>2.2732137263127986E-3</v>
      </c>
      <c r="AD68" s="236">
        <f>'Emissions Reductions'!AD27+'Emissions Reductions'!AD43</f>
        <v>2.2540690476230136E-3</v>
      </c>
      <c r="AE68" s="236">
        <f>'Emissions Reductions'!AE27+'Emissions Reductions'!AE43</f>
        <v>2.3238644566032293E-3</v>
      </c>
      <c r="AF68" s="236">
        <f>'Emissions Reductions'!AF27+'Emissions Reductions'!AF43</f>
        <v>2.3936579232778552E-3</v>
      </c>
      <c r="AG68" s="236">
        <f>'Emissions Reductions'!AG27+'Emissions Reductions'!AG43</f>
        <v>2.4634229102758233E-3</v>
      </c>
      <c r="AH68" s="236">
        <f>'Emissions Reductions'!AH27+'Emissions Reductions'!AH43</f>
        <v>2.5331328802260617E-3</v>
      </c>
      <c r="AI68" s="236">
        <f>'Emissions Reductions'!AI27+'Emissions Reductions'!AI43</f>
        <v>2.6027612957575021E-3</v>
      </c>
      <c r="AJ68" s="236">
        <f>'Emissions Reductions'!AJ27+'Emissions Reductions'!AJ43</f>
        <v>2.6722816194990734E-3</v>
      </c>
      <c r="AK68" s="236">
        <f>'Emissions Reductions'!AK27+'Emissions Reductions'!AK43</f>
        <v>2.7416673140797064E-3</v>
      </c>
      <c r="AL68" s="236">
        <f>'Emissions Reductions'!AL27+'Emissions Reductions'!AL43</f>
        <v>2.81089184212833E-3</v>
      </c>
      <c r="AM68" s="236">
        <f>'Emissions Reductions'!AM27+'Emissions Reductions'!AM43</f>
        <v>2.8799286662738763E-3</v>
      </c>
      <c r="AN68" s="236">
        <f>'Emissions Reductions'!AN27+'Emissions Reductions'!AN43</f>
        <v>2.9487512491452729E-3</v>
      </c>
      <c r="AO68" s="236">
        <f>'Emissions Reductions'!AO27+'Emissions Reductions'!AO43</f>
        <v>3.0173330533714514E-3</v>
      </c>
      <c r="AP68" s="236">
        <f>'Emissions Reductions'!AP27+'Emissions Reductions'!AP43</f>
        <v>3.0856475415813418E-3</v>
      </c>
      <c r="AQ68" s="236">
        <f>'Emissions Reductions'!AQ27+'Emissions Reductions'!AQ43</f>
        <v>3.1536681764038725E-3</v>
      </c>
      <c r="AR68" s="236">
        <f>'Emissions Reductions'!AR27+'Emissions Reductions'!AR43</f>
        <v>3.2213684204679752E-3</v>
      </c>
      <c r="AS68" s="236">
        <f>'Emissions Reductions'!AS27+'Emissions Reductions'!AS43</f>
        <v>3.2887217364025805E-3</v>
      </c>
    </row>
    <row r="69" spans="1:45">
      <c r="A69" s="26" t="str">
        <f>"PREFERRED (With "&amp;'BCA Summary'!$E$1&amp;" Grant) annual short tons of PM 2.5"</f>
        <v>PREFERRED (With BUILD Grant Grant) annual short tons of PM 2.5</v>
      </c>
      <c r="B69" s="26"/>
      <c r="C69" s="26"/>
      <c r="D69" s="82">
        <f>SUM(E69:AS69)</f>
        <v>5.5164649891993579E-2</v>
      </c>
      <c r="E69" s="234">
        <f>'Emissions Reductions'!E28+'Emissions Reductions'!E44</f>
        <v>2.7454190982344161E-3</v>
      </c>
      <c r="F69" s="234">
        <f>'Emissions Reductions'!F28+'Emissions Reductions'!F44</f>
        <v>2.8613241147740849E-3</v>
      </c>
      <c r="G69" s="234">
        <f>'Emissions Reductions'!G28+'Emissions Reductions'!G44</f>
        <v>2.9606876729287835E-3</v>
      </c>
      <c r="H69" s="234">
        <f>'Emissions Reductions'!H28+'Emissions Reductions'!H44</f>
        <v>3.0422252510137427E-3</v>
      </c>
      <c r="I69" s="234">
        <f>'Emissions Reductions'!I28+'Emissions Reductions'!I44</f>
        <v>3.1046523273441915E-3</v>
      </c>
      <c r="J69" s="234">
        <f>'Emissions Reductions'!J28+'Emissions Reductions'!J44</f>
        <v>3.1466843802353608E-3</v>
      </c>
      <c r="K69" s="234">
        <f>'Emissions Reductions'!K28+'Emissions Reductions'!K44</f>
        <v>3.1670368880024791E-3</v>
      </c>
      <c r="L69" s="234">
        <f>'Emissions Reductions'!L28+'Emissions Reductions'!L44</f>
        <v>3.1644253289607768E-3</v>
      </c>
      <c r="M69" s="234">
        <f>'Emissions Reductions'!M28+'Emissions Reductions'!M44</f>
        <v>3.137565181425485E-3</v>
      </c>
      <c r="N69" s="234">
        <f>'Emissions Reductions'!N28+'Emissions Reductions'!N44</f>
        <v>3.0851719237118308E-3</v>
      </c>
      <c r="O69" s="234">
        <f>'Emissions Reductions'!O28+'Emissions Reductions'!O44</f>
        <v>3.0059610341350452E-3</v>
      </c>
      <c r="P69" s="234">
        <f>'Emissions Reductions'!P28+'Emissions Reductions'!P44</f>
        <v>2.8986479910103587E-3</v>
      </c>
      <c r="Q69" s="234">
        <f>'Emissions Reductions'!Q28+'Emissions Reductions'!Q44</f>
        <v>2.7619482726529993E-3</v>
      </c>
      <c r="R69" s="234">
        <f>'Emissions Reductions'!R28+'Emissions Reductions'!R44</f>
        <v>2.594577357378198E-3</v>
      </c>
      <c r="S69" s="234">
        <f>'Emissions Reductions'!S28+'Emissions Reductions'!S44</f>
        <v>2.3952507235011854E-3</v>
      </c>
      <c r="T69" s="234">
        <f>'Emissions Reductions'!T28+'Emissions Reductions'!T44</f>
        <v>4.4987095747529491E-4</v>
      </c>
      <c r="U69" s="234">
        <f>'Emissions Reductions'!U28+'Emissions Reductions'!U44</f>
        <v>4.4629571666242719E-4</v>
      </c>
      <c r="V69" s="234">
        <f>'Emissions Reductions'!V28+'Emissions Reductions'!V44</f>
        <v>4.4201052454556161E-4</v>
      </c>
      <c r="W69" s="234">
        <f>'Emissions Reductions'!W28+'Emissions Reductions'!W44</f>
        <v>4.370059574378565E-4</v>
      </c>
      <c r="X69" s="234">
        <f>'Emissions Reductions'!X28+'Emissions Reductions'!X44</f>
        <v>4.3127259165247014E-4</v>
      </c>
      <c r="Y69" s="234">
        <f>'Emissions Reductions'!Y28+'Emissions Reductions'!Y44</f>
        <v>4.2480100350256026E-4</v>
      </c>
      <c r="Z69" s="234">
        <f>'Emissions Reductions'!Z28+'Emissions Reductions'!Z44</f>
        <v>4.1758176930128553E-4</v>
      </c>
      <c r="AA69" s="234">
        <f>'Emissions Reductions'!AA28+'Emissions Reductions'!AA44</f>
        <v>4.0960546536180384E-4</v>
      </c>
      <c r="AB69" s="234">
        <f>'Emissions Reductions'!AB28+'Emissions Reductions'!AB44</f>
        <v>4.0086266799727347E-4</v>
      </c>
      <c r="AC69" s="234">
        <f>'Emissions Reductions'!AC28+'Emissions Reductions'!AC44</f>
        <v>3.9134395352085271E-4</v>
      </c>
      <c r="AD69" s="234">
        <f>'Emissions Reductions'!AD28+'Emissions Reductions'!AD44</f>
        <v>3.8103989824569946E-4</v>
      </c>
      <c r="AE69" s="234">
        <f>'Emissions Reductions'!AE28+'Emissions Reductions'!AE44</f>
        <v>3.8742273212348684E-4</v>
      </c>
      <c r="AF69" s="234">
        <f>'Emissions Reductions'!AF28+'Emissions Reductions'!AF44</f>
        <v>3.937729285010224E-4</v>
      </c>
      <c r="AG69" s="234">
        <f>'Emissions Reductions'!AG28+'Emissions Reductions'!AG44</f>
        <v>4.0008945457726359E-4</v>
      </c>
      <c r="AH69" s="234">
        <f>'Emissions Reductions'!AH28+'Emissions Reductions'!AH44</f>
        <v>4.0637127755116818E-4</v>
      </c>
      <c r="AI69" s="234">
        <f>'Emissions Reductions'!AI28+'Emissions Reductions'!AI44</f>
        <v>4.126173646216933E-4</v>
      </c>
      <c r="AJ69" s="234">
        <f>'Emissions Reductions'!AJ28+'Emissions Reductions'!AJ44</f>
        <v>4.1882668298779649E-4</v>
      </c>
      <c r="AK69" s="234">
        <f>'Emissions Reductions'!AK28+'Emissions Reductions'!AK44</f>
        <v>4.2499819984843527E-4</v>
      </c>
      <c r="AL69" s="234">
        <f>'Emissions Reductions'!AL28+'Emissions Reductions'!AL44</f>
        <v>4.3113088240256725E-4</v>
      </c>
      <c r="AM69" s="234">
        <f>'Emissions Reductions'!AM28+'Emissions Reductions'!AM44</f>
        <v>4.3722369784914971E-4</v>
      </c>
      <c r="AN69" s="234">
        <f>'Emissions Reductions'!AN28+'Emissions Reductions'!AN44</f>
        <v>4.4327561338714015E-4</v>
      </c>
      <c r="AO69" s="234">
        <f>'Emissions Reductions'!AO28+'Emissions Reductions'!AO44</f>
        <v>4.4928559621549603E-4</v>
      </c>
      <c r="AP69" s="234">
        <f>'Emissions Reductions'!AP28+'Emissions Reductions'!AP44</f>
        <v>4.5525261353317491E-4</v>
      </c>
      <c r="AQ69" s="234">
        <f>'Emissions Reductions'!AQ28+'Emissions Reductions'!AQ44</f>
        <v>4.61175632539134E-4</v>
      </c>
      <c r="AR69" s="234">
        <f>'Emissions Reductions'!AR28+'Emissions Reductions'!AR44</f>
        <v>4.670536204323312E-4</v>
      </c>
      <c r="AS69" s="234">
        <f>'Emissions Reductions'!AS28+'Emissions Reductions'!AS44</f>
        <v>4.7288554441172369E-4</v>
      </c>
    </row>
    <row r="70" spans="1:45">
      <c r="A70" s="39" t="s">
        <v>255</v>
      </c>
      <c r="B70" s="39"/>
      <c r="C70" s="39"/>
      <c r="D70" s="83">
        <f>SUM(E70:AS70)</f>
        <v>5.583394865883258E-2</v>
      </c>
      <c r="E70" s="235">
        <f>E68-E69</f>
        <v>0</v>
      </c>
      <c r="F70" s="235">
        <f t="shared" ref="F70:AS70" si="37">F68-F69</f>
        <v>0</v>
      </c>
      <c r="G70" s="235">
        <f t="shared" si="37"/>
        <v>0</v>
      </c>
      <c r="H70" s="235">
        <f t="shared" si="37"/>
        <v>0</v>
      </c>
      <c r="I70" s="235">
        <f t="shared" si="37"/>
        <v>0</v>
      </c>
      <c r="J70" s="235">
        <f t="shared" si="37"/>
        <v>0</v>
      </c>
      <c r="K70" s="235">
        <f t="shared" si="37"/>
        <v>0</v>
      </c>
      <c r="L70" s="235">
        <f t="shared" si="37"/>
        <v>0</v>
      </c>
      <c r="M70" s="235">
        <f t="shared" si="37"/>
        <v>0</v>
      </c>
      <c r="N70" s="235">
        <f t="shared" si="37"/>
        <v>0</v>
      </c>
      <c r="O70" s="235">
        <f t="shared" si="37"/>
        <v>0</v>
      </c>
      <c r="P70" s="235">
        <f t="shared" si="37"/>
        <v>0</v>
      </c>
      <c r="Q70" s="235">
        <f t="shared" si="37"/>
        <v>0</v>
      </c>
      <c r="R70" s="235">
        <f t="shared" si="37"/>
        <v>0</v>
      </c>
      <c r="S70" s="235">
        <f t="shared" si="37"/>
        <v>0</v>
      </c>
      <c r="T70" s="235">
        <f t="shared" si="37"/>
        <v>1.7128128918618953E-3</v>
      </c>
      <c r="U70" s="235">
        <f t="shared" si="37"/>
        <v>1.7515468343568511E-3</v>
      </c>
      <c r="V70" s="235">
        <f t="shared" si="37"/>
        <v>1.7857113581138842E-3</v>
      </c>
      <c r="W70" s="235">
        <f t="shared" si="37"/>
        <v>1.8151273020977638E-3</v>
      </c>
      <c r="X70" s="235">
        <f t="shared" si="37"/>
        <v>1.8396155052732603E-3</v>
      </c>
      <c r="Y70" s="235">
        <f t="shared" si="37"/>
        <v>1.8589968066051435E-3</v>
      </c>
      <c r="Z70" s="235">
        <f t="shared" si="37"/>
        <v>1.873092045058184E-3</v>
      </c>
      <c r="AA70" s="235">
        <f t="shared" si="37"/>
        <v>1.8817220595971512E-3</v>
      </c>
      <c r="AB70" s="235">
        <f t="shared" si="37"/>
        <v>1.884707689186815E-3</v>
      </c>
      <c r="AC70" s="235">
        <f t="shared" si="37"/>
        <v>1.8818697727919459E-3</v>
      </c>
      <c r="AD70" s="235">
        <f t="shared" si="37"/>
        <v>1.8730291493773141E-3</v>
      </c>
      <c r="AE70" s="235">
        <f t="shared" si="37"/>
        <v>1.9364417244797424E-3</v>
      </c>
      <c r="AF70" s="235">
        <f t="shared" si="37"/>
        <v>1.9998849947768329E-3</v>
      </c>
      <c r="AG70" s="235">
        <f t="shared" si="37"/>
        <v>2.0633334556985597E-3</v>
      </c>
      <c r="AH70" s="235">
        <f t="shared" si="37"/>
        <v>2.1267616026748935E-3</v>
      </c>
      <c r="AI70" s="235">
        <f t="shared" si="37"/>
        <v>2.1901439311358089E-3</v>
      </c>
      <c r="AJ70" s="235">
        <f t="shared" si="37"/>
        <v>2.2534549365112767E-3</v>
      </c>
      <c r="AK70" s="235">
        <f t="shared" si="37"/>
        <v>2.3166691142312711E-3</v>
      </c>
      <c r="AL70" s="235">
        <f t="shared" si="37"/>
        <v>2.3797609597257627E-3</v>
      </c>
      <c r="AM70" s="235">
        <f t="shared" si="37"/>
        <v>2.4427049684247267E-3</v>
      </c>
      <c r="AN70" s="235">
        <f t="shared" si="37"/>
        <v>2.5054756357581328E-3</v>
      </c>
      <c r="AO70" s="235">
        <f t="shared" si="37"/>
        <v>2.5680474571559554E-3</v>
      </c>
      <c r="AP70" s="235">
        <f t="shared" si="37"/>
        <v>2.6303949280481668E-3</v>
      </c>
      <c r="AQ70" s="235">
        <f t="shared" si="37"/>
        <v>2.6924925438647383E-3</v>
      </c>
      <c r="AR70" s="235">
        <f t="shared" si="37"/>
        <v>2.754314800035644E-3</v>
      </c>
      <c r="AS70" s="235">
        <f t="shared" si="37"/>
        <v>2.8158361919908568E-3</v>
      </c>
    </row>
    <row r="71" spans="1:45">
      <c r="A71" s="23"/>
      <c r="B71" s="23"/>
      <c r="C71" s="23"/>
      <c r="D71" s="146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</row>
    <row r="72" spans="1:45" customFormat="1" ht="18" thickBot="1">
      <c r="A72" s="17" t="s">
        <v>43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</row>
    <row r="73" spans="1:45" customFormat="1" ht="17" thickTop="1" thickBot="1">
      <c r="A73" s="32" t="s">
        <v>29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</row>
    <row r="74" spans="1:45" customFormat="1">
      <c r="A74" t="s">
        <v>98</v>
      </c>
    </row>
    <row r="75" spans="1:45" customFormat="1">
      <c r="A75" s="1" t="s">
        <v>44</v>
      </c>
      <c r="B75" s="1"/>
      <c r="C75" s="1"/>
      <c r="D75" s="58" t="str">
        <f>'BCA Summary'!$C$37&amp;"$"</f>
        <v>2024$</v>
      </c>
      <c r="E75" s="1"/>
      <c r="F75" s="1"/>
    </row>
    <row r="76" spans="1:45" customFormat="1" ht="14">
      <c r="A76" s="1"/>
      <c r="B76" s="1" t="s">
        <v>388</v>
      </c>
      <c r="C76" s="1"/>
      <c r="D76" s="241">
        <f>D77/D78</f>
        <v>5480.2259887005648</v>
      </c>
      <c r="E76" s="1"/>
      <c r="F76" s="22"/>
    </row>
    <row r="77" spans="1:45" customFormat="1">
      <c r="A77" s="1"/>
      <c r="B77" s="1"/>
      <c r="C77" s="1" t="s">
        <v>386</v>
      </c>
      <c r="D77" s="163">
        <v>9700</v>
      </c>
      <c r="E77" s="1"/>
      <c r="F77" t="s">
        <v>385</v>
      </c>
    </row>
    <row r="78" spans="1:45" customFormat="1">
      <c r="A78" s="1"/>
      <c r="B78" s="1"/>
      <c r="C78" s="1" t="s">
        <v>387</v>
      </c>
      <c r="D78" s="109">
        <v>1.77</v>
      </c>
      <c r="E78" s="1"/>
      <c r="F78" t="s">
        <v>385</v>
      </c>
    </row>
    <row r="79" spans="1:45" customFormat="1" ht="14">
      <c r="A79" s="1"/>
      <c r="B79" t="s">
        <v>381</v>
      </c>
      <c r="C79" s="1"/>
      <c r="D79" s="241">
        <f>D80/D81</f>
        <v>237777.77777777778</v>
      </c>
      <c r="E79" s="1"/>
      <c r="F79" s="22"/>
    </row>
    <row r="80" spans="1:45" customFormat="1">
      <c r="A80" s="1"/>
      <c r="C80" s="1" t="s">
        <v>389</v>
      </c>
      <c r="D80" s="163">
        <v>342400</v>
      </c>
      <c r="E80" s="1"/>
      <c r="F80" t="s">
        <v>391</v>
      </c>
    </row>
    <row r="81" spans="1:9" customFormat="1">
      <c r="A81" s="1"/>
      <c r="C81" t="s">
        <v>390</v>
      </c>
      <c r="D81" s="109">
        <v>1.44</v>
      </c>
      <c r="E81" s="1"/>
      <c r="F81" t="s">
        <v>391</v>
      </c>
    </row>
    <row r="82" spans="1:9" customFormat="1" ht="14">
      <c r="A82" s="1"/>
      <c r="B82" s="1" t="s">
        <v>382</v>
      </c>
      <c r="C82" s="1"/>
      <c r="D82" s="241">
        <f>D83/D84</f>
        <v>14098073.394495413</v>
      </c>
      <c r="E82" s="1"/>
    </row>
    <row r="83" spans="1:9" customFormat="1">
      <c r="A83" s="1"/>
      <c r="C83" s="1" t="s">
        <v>389</v>
      </c>
      <c r="D83" s="163">
        <v>15366900</v>
      </c>
      <c r="E83" s="1"/>
      <c r="F83" t="s">
        <v>391</v>
      </c>
    </row>
    <row r="84" spans="1:9" customFormat="1">
      <c r="A84" s="1"/>
      <c r="C84" t="s">
        <v>392</v>
      </c>
      <c r="D84" s="109">
        <v>1.0900000000000001</v>
      </c>
      <c r="E84" s="1"/>
      <c r="F84" t="s">
        <v>391</v>
      </c>
    </row>
    <row r="85" spans="1:9" customFormat="1">
      <c r="A85" t="s">
        <v>368</v>
      </c>
    </row>
    <row r="86" spans="1:9">
      <c r="A86" t="s">
        <v>186</v>
      </c>
      <c r="F86" t="s">
        <v>187</v>
      </c>
      <c r="I86" t="s">
        <v>188</v>
      </c>
    </row>
    <row r="87" spans="1:9">
      <c r="B87" t="s">
        <v>197</v>
      </c>
    </row>
    <row r="88" spans="1:9">
      <c r="D88" s="58" t="str">
        <f>'BCA Summary'!$C$37&amp;"$"</f>
        <v>2024$</v>
      </c>
      <c r="E88" s="1"/>
      <c r="F88" s="1"/>
    </row>
    <row r="89" spans="1:9" ht="14">
      <c r="C89" s="1" t="s">
        <v>34</v>
      </c>
      <c r="D89" s="241">
        <f>D76</f>
        <v>5480.2259887005648</v>
      </c>
      <c r="E89" s="1"/>
      <c r="F89" t="str">
        <f>F77</f>
        <v>Source: The Economic and Societal Impact of Motor Vehicle Crashes, 2019 (Revised February 2023), inflated to 2022$</v>
      </c>
    </row>
    <row r="90" spans="1:9" ht="14">
      <c r="C90" t="s">
        <v>45</v>
      </c>
      <c r="D90" s="241">
        <f>D79</f>
        <v>237777.77777777778</v>
      </c>
      <c r="E90" s="1"/>
      <c r="F90" t="str">
        <f>F80</f>
        <v>Source: Treatment of the Economic Value of Preventing Fatalities and Injuries in Preparing Economic Analyses (2022)</v>
      </c>
    </row>
    <row r="91" spans="1:9" ht="14">
      <c r="C91" s="1" t="s">
        <v>46</v>
      </c>
      <c r="D91" s="241">
        <f>D82</f>
        <v>14098073.394495413</v>
      </c>
      <c r="E91" s="1"/>
      <c r="F91" t="str">
        <f>F83</f>
        <v>Source: Treatment of the Economic Value of Preventing Fatalities and Injuries in Preparing Economic Analyses (2022)</v>
      </c>
    </row>
    <row r="92" spans="1:9">
      <c r="B92" s="1" t="s">
        <v>189</v>
      </c>
      <c r="D92" s="58" t="str">
        <f>'BCA Summary'!$C$37&amp;"$"</f>
        <v>2024$</v>
      </c>
      <c r="E92" s="58" t="s">
        <v>99</v>
      </c>
    </row>
    <row r="93" spans="1:9" ht="14">
      <c r="C93" t="s">
        <v>190</v>
      </c>
      <c r="D93" s="241">
        <f>E93*D99</f>
        <v>11625.820000000002</v>
      </c>
      <c r="E93" s="163">
        <v>8486</v>
      </c>
      <c r="F93" t="s">
        <v>192</v>
      </c>
    </row>
    <row r="94" spans="1:9" ht="14">
      <c r="C94" t="s">
        <v>191</v>
      </c>
      <c r="D94" s="241">
        <f>E94*D99</f>
        <v>16038.590000000002</v>
      </c>
      <c r="E94" s="163">
        <v>11707</v>
      </c>
      <c r="F94" t="s">
        <v>192</v>
      </c>
    </row>
    <row r="95" spans="1:9" ht="14">
      <c r="C95" t="s">
        <v>34</v>
      </c>
      <c r="D95" s="241">
        <f>E95*D99</f>
        <v>10409.26</v>
      </c>
      <c r="E95" s="163">
        <v>7598</v>
      </c>
      <c r="F95" t="s">
        <v>192</v>
      </c>
    </row>
    <row r="96" spans="1:9" ht="14">
      <c r="C96" t="s">
        <v>193</v>
      </c>
      <c r="D96" s="241">
        <f>E96*D99</f>
        <v>92925.73000000001</v>
      </c>
      <c r="E96" s="163">
        <v>67829</v>
      </c>
      <c r="F96" t="s">
        <v>195</v>
      </c>
    </row>
    <row r="97" spans="1:44" ht="14">
      <c r="C97" t="s">
        <v>194</v>
      </c>
      <c r="D97" s="241">
        <f>E97*D99</f>
        <v>22842.010000000002</v>
      </c>
      <c r="E97" s="163">
        <v>16673</v>
      </c>
      <c r="F97" t="s">
        <v>195</v>
      </c>
    </row>
    <row r="98" spans="1:44" customFormat="1">
      <c r="A98" s="1"/>
      <c r="C98" t="s">
        <v>61</v>
      </c>
      <c r="D98" t="str">
        <f>"Multiplier to Adjust to Real "&amp;'BCA Summary'!C37&amp;"$"</f>
        <v>Multiplier to Adjust to Real 2024$</v>
      </c>
      <c r="E98" s="1"/>
      <c r="F98" s="1"/>
    </row>
    <row r="99" spans="1:44" customFormat="1">
      <c r="A99" s="1"/>
      <c r="B99" s="1"/>
      <c r="D99" s="109">
        <v>1.37</v>
      </c>
      <c r="E99" s="109">
        <v>2011</v>
      </c>
      <c r="F99" t="s">
        <v>436</v>
      </c>
    </row>
    <row r="100" spans="1:44">
      <c r="A100" t="s">
        <v>196</v>
      </c>
      <c r="D100" s="58" t="str">
        <f>'BCA Summary'!$C$37&amp;"$"</f>
        <v>2024$</v>
      </c>
    </row>
    <row r="101" spans="1:44" customFormat="1" ht="14">
      <c r="A101" s="1"/>
      <c r="B101" s="1" t="s">
        <v>34</v>
      </c>
      <c r="D101" s="241">
        <f>D89+D95+D96+D97</f>
        <v>131657.22598870058</v>
      </c>
      <c r="E101" s="162"/>
      <c r="F101" t="s">
        <v>369</v>
      </c>
    </row>
    <row r="102" spans="1:44" customFormat="1" ht="14">
      <c r="A102" s="1"/>
      <c r="B102" t="s">
        <v>138</v>
      </c>
      <c r="D102" s="241">
        <f>D90+D94+D96+D97</f>
        <v>369584.10777777783</v>
      </c>
      <c r="E102" s="162"/>
      <c r="F102" t="s">
        <v>369</v>
      </c>
    </row>
    <row r="103" spans="1:44" customFormat="1" ht="14">
      <c r="A103" s="1"/>
      <c r="B103" s="1" t="s">
        <v>46</v>
      </c>
      <c r="D103" s="241">
        <f>D91+D93+D96+D97</f>
        <v>14225466.954495413</v>
      </c>
      <c r="E103" s="162"/>
      <c r="F103" t="s">
        <v>369</v>
      </c>
    </row>
    <row r="105" spans="1:44" customFormat="1" ht="16" thickBot="1">
      <c r="A105" s="59" t="s">
        <v>47</v>
      </c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</row>
    <row r="106" spans="1:44" customFormat="1">
      <c r="A106" s="1"/>
      <c r="B106" t="s">
        <v>48</v>
      </c>
      <c r="C106" s="1"/>
      <c r="D106" s="58" t="str">
        <f>'BCA Summary'!$C$37&amp;"$"</f>
        <v>2024$</v>
      </c>
      <c r="E106" s="1"/>
      <c r="F106" s="1"/>
    </row>
    <row r="107" spans="1:44" customFormat="1">
      <c r="A107" s="1"/>
      <c r="B107" s="1"/>
      <c r="C107" t="s">
        <v>49</v>
      </c>
      <c r="D107" s="166">
        <v>20.100000000000001</v>
      </c>
      <c r="E107" s="1"/>
      <c r="F107" t="s">
        <v>393</v>
      </c>
    </row>
    <row r="108" spans="1:44" customFormat="1">
      <c r="A108" s="1"/>
      <c r="B108" s="1"/>
      <c r="C108" t="s">
        <v>50</v>
      </c>
      <c r="D108" s="166">
        <v>34.6</v>
      </c>
      <c r="E108" s="1"/>
      <c r="F108" t="s">
        <v>393</v>
      </c>
    </row>
    <row r="109" spans="1:44" customFormat="1">
      <c r="A109" s="1"/>
      <c r="B109" s="1"/>
      <c r="C109" t="s">
        <v>51</v>
      </c>
      <c r="D109" s="166">
        <v>21.8</v>
      </c>
      <c r="E109" s="1"/>
      <c r="F109" t="s">
        <v>393</v>
      </c>
    </row>
    <row r="110" spans="1:44" customFormat="1">
      <c r="A110" s="1"/>
      <c r="B110" t="s">
        <v>394</v>
      </c>
      <c r="C110" s="1"/>
      <c r="D110" s="58" t="str">
        <f>'BCA Summary'!$C$37&amp;"$"</f>
        <v>2024$</v>
      </c>
      <c r="E110" s="1"/>
      <c r="F110" s="1"/>
    </row>
    <row r="111" spans="1:44" customFormat="1">
      <c r="A111" s="1"/>
      <c r="B111" s="1"/>
      <c r="C111" t="s">
        <v>395</v>
      </c>
      <c r="D111" s="166">
        <v>40.200000000000003</v>
      </c>
      <c r="E111" s="1"/>
      <c r="F111" t="s">
        <v>393</v>
      </c>
    </row>
    <row r="112" spans="1:44" customFormat="1">
      <c r="A112" s="1"/>
      <c r="B112" t="s">
        <v>52</v>
      </c>
      <c r="C112" s="1"/>
      <c r="D112" s="58" t="str">
        <f>'BCA Summary'!$C$37&amp;"$"</f>
        <v>2024$</v>
      </c>
      <c r="E112" s="1"/>
      <c r="F112" s="1"/>
    </row>
    <row r="113" spans="1:45" customFormat="1">
      <c r="A113" s="1"/>
      <c r="B113" s="1"/>
      <c r="C113" t="s">
        <v>53</v>
      </c>
      <c r="D113" s="166">
        <v>37.200000000000003</v>
      </c>
      <c r="E113" s="1"/>
      <c r="F113" t="s">
        <v>393</v>
      </c>
    </row>
    <row r="114" spans="1:45" customFormat="1">
      <c r="A114" s="1"/>
      <c r="B114" s="1"/>
      <c r="C114" t="s">
        <v>245</v>
      </c>
      <c r="D114" s="166">
        <v>40.299999999999997</v>
      </c>
      <c r="E114" s="1"/>
      <c r="F114" t="s">
        <v>393</v>
      </c>
    </row>
    <row r="115" spans="1:45" customFormat="1">
      <c r="A115" s="1"/>
      <c r="B115" s="1"/>
      <c r="C115" t="s">
        <v>246</v>
      </c>
      <c r="D115" s="166">
        <v>59.5</v>
      </c>
      <c r="E115" s="1"/>
      <c r="F115" t="s">
        <v>393</v>
      </c>
    </row>
    <row r="116" spans="1:45" customFormat="1">
      <c r="A116" s="1"/>
      <c r="B116" s="1"/>
      <c r="C116" t="s">
        <v>247</v>
      </c>
      <c r="D116" s="166">
        <v>54.2</v>
      </c>
      <c r="E116" s="1"/>
      <c r="F116" t="s">
        <v>393</v>
      </c>
    </row>
    <row r="117" spans="1:45" customFormat="1">
      <c r="A117" s="1"/>
      <c r="B117" t="s">
        <v>54</v>
      </c>
      <c r="C117" s="1"/>
      <c r="D117" s="1"/>
      <c r="E117" s="1"/>
      <c r="F117" s="1"/>
    </row>
    <row r="118" spans="1:45" customFormat="1">
      <c r="A118" s="1"/>
      <c r="B118" s="1"/>
      <c r="C118" t="s">
        <v>396</v>
      </c>
      <c r="D118" s="164">
        <v>1.34</v>
      </c>
      <c r="E118" s="1"/>
      <c r="F118" t="s">
        <v>437</v>
      </c>
    </row>
    <row r="119" spans="1:45" customFormat="1">
      <c r="A119" s="1"/>
      <c r="B119" s="1"/>
      <c r="C119" t="s">
        <v>55</v>
      </c>
      <c r="D119" s="165">
        <v>1</v>
      </c>
      <c r="E119" s="1"/>
      <c r="F119" t="s">
        <v>228</v>
      </c>
    </row>
    <row r="120" spans="1:45" customFormat="1">
      <c r="A120" s="1"/>
      <c r="B120" t="s">
        <v>56</v>
      </c>
      <c r="C120" s="1"/>
      <c r="D120" s="58" t="str">
        <f>'BCA Summary'!$C$37&amp;"$/mile"</f>
        <v>2024$/mile</v>
      </c>
      <c r="E120" s="1"/>
      <c r="F120" s="1"/>
    </row>
    <row r="121" spans="1:45" customFormat="1">
      <c r="A121" s="1"/>
      <c r="B121" s="1"/>
      <c r="C121" t="s">
        <v>57</v>
      </c>
      <c r="D121" s="166">
        <v>0.56000000000000005</v>
      </c>
      <c r="E121" s="1"/>
      <c r="F121" t="s">
        <v>438</v>
      </c>
    </row>
    <row r="122" spans="1:45" customFormat="1">
      <c r="A122" s="1"/>
      <c r="B122" s="1"/>
      <c r="C122" t="s">
        <v>58</v>
      </c>
      <c r="D122" s="166">
        <v>1.23</v>
      </c>
      <c r="E122" s="1"/>
      <c r="F122" t="s">
        <v>439</v>
      </c>
    </row>
    <row r="123" spans="1:45" customFormat="1" ht="16" thickBot="1">
      <c r="A123" s="59" t="s">
        <v>33</v>
      </c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</row>
    <row r="124" spans="1:45" customFormat="1">
      <c r="A124" t="s">
        <v>59</v>
      </c>
      <c r="B124" s="1"/>
      <c r="C124" s="1"/>
      <c r="D124" s="58" t="str">
        <f>'BCA Summary'!$C$37&amp;"$/short ton"</f>
        <v>2024$/short ton</v>
      </c>
      <c r="E124" s="1"/>
      <c r="F124" t="s">
        <v>440</v>
      </c>
    </row>
    <row r="125" spans="1:45" customFormat="1">
      <c r="A125" s="1"/>
      <c r="B125" s="1"/>
      <c r="C125" s="1"/>
      <c r="D125" s="25"/>
      <c r="E125" s="25"/>
      <c r="F125" s="25">
        <v>2025</v>
      </c>
      <c r="G125" s="25">
        <v>2026</v>
      </c>
      <c r="H125" s="25">
        <v>2027</v>
      </c>
      <c r="I125" s="25">
        <v>2028</v>
      </c>
      <c r="J125" s="25">
        <v>2029</v>
      </c>
      <c r="K125" s="25">
        <v>2030</v>
      </c>
      <c r="L125" s="25">
        <v>2031</v>
      </c>
      <c r="M125" s="25">
        <v>2032</v>
      </c>
      <c r="N125" s="25">
        <v>2033</v>
      </c>
      <c r="O125" s="25">
        <v>2034</v>
      </c>
      <c r="P125" s="25">
        <v>2035</v>
      </c>
      <c r="Q125" s="25">
        <v>2036</v>
      </c>
      <c r="R125" s="25">
        <v>2037</v>
      </c>
      <c r="S125" s="25">
        <v>2038</v>
      </c>
      <c r="T125" s="25">
        <v>2039</v>
      </c>
      <c r="U125" s="25">
        <v>2040</v>
      </c>
      <c r="V125" s="25">
        <v>2041</v>
      </c>
      <c r="W125" s="25">
        <v>2042</v>
      </c>
      <c r="X125" s="25">
        <v>2043</v>
      </c>
      <c r="Y125" s="25">
        <v>2044</v>
      </c>
      <c r="Z125" s="25">
        <v>2045</v>
      </c>
      <c r="AA125" s="25">
        <v>2046</v>
      </c>
      <c r="AB125" s="25">
        <v>2047</v>
      </c>
      <c r="AC125" s="25">
        <v>2048</v>
      </c>
      <c r="AD125" s="25">
        <v>2049</v>
      </c>
      <c r="AE125" s="25">
        <v>2050</v>
      </c>
      <c r="AF125" s="25">
        <v>2051</v>
      </c>
      <c r="AG125" s="25">
        <v>2052</v>
      </c>
      <c r="AH125" s="25">
        <v>2053</v>
      </c>
      <c r="AI125" s="25">
        <v>2054</v>
      </c>
      <c r="AJ125" s="25">
        <v>2055</v>
      </c>
      <c r="AS125" s="1"/>
    </row>
    <row r="126" spans="1:45" customFormat="1">
      <c r="A126" s="1"/>
      <c r="B126" t="s">
        <v>383</v>
      </c>
      <c r="C126" s="1"/>
      <c r="D126" s="1"/>
      <c r="E126" s="237"/>
      <c r="F126" t="s">
        <v>477</v>
      </c>
      <c r="G126" s="237"/>
      <c r="H126" s="237"/>
      <c r="I126" s="237"/>
      <c r="J126" s="237"/>
      <c r="K126" s="237"/>
      <c r="L126" s="237"/>
      <c r="M126" s="237"/>
      <c r="N126" s="237"/>
      <c r="O126" s="237"/>
      <c r="P126" s="237"/>
      <c r="Q126" s="237"/>
      <c r="R126" s="237"/>
      <c r="S126" s="237"/>
      <c r="T126" s="237"/>
      <c r="U126" s="237"/>
      <c r="V126" s="237"/>
      <c r="W126" s="237"/>
      <c r="X126" s="237"/>
      <c r="Y126" s="237"/>
      <c r="Z126" s="237"/>
      <c r="AA126" s="237"/>
      <c r="AB126" s="237"/>
      <c r="AC126" s="237"/>
      <c r="AD126" s="237"/>
      <c r="AE126" s="237"/>
      <c r="AF126" s="237"/>
      <c r="AG126" s="237"/>
      <c r="AH126" s="238"/>
      <c r="AI126" s="238"/>
      <c r="AJ126" s="238"/>
      <c r="AS126" s="1"/>
    </row>
    <row r="127" spans="1:45" customFormat="1">
      <c r="A127" s="1"/>
      <c r="B127" s="1"/>
      <c r="C127" t="s">
        <v>248</v>
      </c>
      <c r="D127" s="1"/>
      <c r="E127" s="237"/>
      <c r="F127" s="178">
        <v>21600</v>
      </c>
      <c r="G127" s="178">
        <v>22000</v>
      </c>
      <c r="H127" s="178">
        <v>22500</v>
      </c>
      <c r="I127" s="178">
        <v>22900</v>
      </c>
      <c r="J127" s="178">
        <v>23300</v>
      </c>
      <c r="K127" s="178">
        <v>23800</v>
      </c>
      <c r="L127" s="178">
        <v>23800</v>
      </c>
      <c r="M127" s="178">
        <v>23800</v>
      </c>
      <c r="N127" s="178">
        <v>23800</v>
      </c>
      <c r="O127" s="178">
        <v>23800</v>
      </c>
      <c r="P127" s="178">
        <v>23800</v>
      </c>
      <c r="Q127" s="178">
        <v>23800</v>
      </c>
      <c r="R127" s="178">
        <v>23800</v>
      </c>
      <c r="S127" s="178">
        <v>23800</v>
      </c>
      <c r="T127" s="178">
        <v>23800</v>
      </c>
      <c r="U127" s="178">
        <v>23800</v>
      </c>
      <c r="V127" s="178">
        <v>23800</v>
      </c>
      <c r="W127" s="178">
        <v>23800</v>
      </c>
      <c r="X127" s="178">
        <v>23800</v>
      </c>
      <c r="Y127" s="178">
        <v>23800</v>
      </c>
      <c r="Z127" s="178">
        <v>23800</v>
      </c>
      <c r="AA127" s="178">
        <v>23800</v>
      </c>
      <c r="AB127" s="178">
        <v>23800</v>
      </c>
      <c r="AC127" s="178">
        <v>23800</v>
      </c>
      <c r="AD127" s="178">
        <v>23800</v>
      </c>
      <c r="AE127" s="178">
        <v>23800</v>
      </c>
      <c r="AF127" s="178">
        <v>23800</v>
      </c>
      <c r="AG127" s="178">
        <v>23800</v>
      </c>
      <c r="AH127" s="178">
        <v>23800</v>
      </c>
      <c r="AI127" s="178">
        <v>23800</v>
      </c>
      <c r="AJ127" s="178">
        <v>23800</v>
      </c>
      <c r="AS127" s="1"/>
    </row>
    <row r="128" spans="1:45" customFormat="1">
      <c r="A128" s="1"/>
      <c r="B128" s="1"/>
      <c r="C128" t="s">
        <v>249</v>
      </c>
      <c r="D128" s="1"/>
      <c r="E128" s="237"/>
      <c r="F128" s="178">
        <v>59000</v>
      </c>
      <c r="G128" s="178">
        <v>60100</v>
      </c>
      <c r="H128" s="178">
        <v>61100</v>
      </c>
      <c r="I128" s="178">
        <v>62200</v>
      </c>
      <c r="J128" s="178">
        <v>63400</v>
      </c>
      <c r="K128" s="178">
        <v>64500</v>
      </c>
      <c r="L128" s="178">
        <v>64500</v>
      </c>
      <c r="M128" s="178">
        <v>64500</v>
      </c>
      <c r="N128" s="178">
        <v>64500</v>
      </c>
      <c r="O128" s="178">
        <v>64500</v>
      </c>
      <c r="P128" s="178">
        <v>64500</v>
      </c>
      <c r="Q128" s="178">
        <v>64500</v>
      </c>
      <c r="R128" s="178">
        <v>64500</v>
      </c>
      <c r="S128" s="178">
        <v>64500</v>
      </c>
      <c r="T128" s="178">
        <v>64500</v>
      </c>
      <c r="U128" s="178">
        <v>64500</v>
      </c>
      <c r="V128" s="178">
        <v>64500</v>
      </c>
      <c r="W128" s="178">
        <v>64500</v>
      </c>
      <c r="X128" s="178">
        <v>64500</v>
      </c>
      <c r="Y128" s="178">
        <v>64500</v>
      </c>
      <c r="Z128" s="178">
        <v>64500</v>
      </c>
      <c r="AA128" s="178">
        <v>64500</v>
      </c>
      <c r="AB128" s="178">
        <v>64500</v>
      </c>
      <c r="AC128" s="178">
        <v>64500</v>
      </c>
      <c r="AD128" s="178">
        <v>64500</v>
      </c>
      <c r="AE128" s="178">
        <v>64500</v>
      </c>
      <c r="AF128" s="178">
        <v>64500</v>
      </c>
      <c r="AG128" s="178">
        <v>64500</v>
      </c>
      <c r="AH128" s="178">
        <v>64500</v>
      </c>
      <c r="AI128" s="178">
        <v>64500</v>
      </c>
      <c r="AJ128" s="178">
        <v>64500</v>
      </c>
      <c r="AS128" s="1"/>
    </row>
    <row r="129" spans="1:45" customFormat="1">
      <c r="A129" s="1"/>
      <c r="B129" s="1"/>
      <c r="C129" t="s">
        <v>252</v>
      </c>
      <c r="D129" s="1"/>
      <c r="E129" s="237"/>
      <c r="F129" s="178">
        <v>1054000</v>
      </c>
      <c r="G129" s="178">
        <v>1070700</v>
      </c>
      <c r="H129" s="178">
        <v>1087800</v>
      </c>
      <c r="I129" s="178">
        <v>1105100</v>
      </c>
      <c r="J129" s="178">
        <v>1122600</v>
      </c>
      <c r="K129" s="178">
        <v>1140500</v>
      </c>
      <c r="L129" s="178">
        <v>1140500</v>
      </c>
      <c r="M129" s="178">
        <v>1140500</v>
      </c>
      <c r="N129" s="178">
        <v>1140500</v>
      </c>
      <c r="O129" s="178">
        <v>1140500</v>
      </c>
      <c r="P129" s="178">
        <v>1140500</v>
      </c>
      <c r="Q129" s="178">
        <v>1140500</v>
      </c>
      <c r="R129" s="178">
        <v>1140500</v>
      </c>
      <c r="S129" s="178">
        <v>1140500</v>
      </c>
      <c r="T129" s="178">
        <v>1140500</v>
      </c>
      <c r="U129" s="178">
        <v>1140500</v>
      </c>
      <c r="V129" s="178">
        <v>1140500</v>
      </c>
      <c r="W129" s="178">
        <v>1140500</v>
      </c>
      <c r="X129" s="178">
        <v>1140500</v>
      </c>
      <c r="Y129" s="178">
        <v>1140500</v>
      </c>
      <c r="Z129" s="178">
        <v>1140500</v>
      </c>
      <c r="AA129" s="178">
        <v>1140500</v>
      </c>
      <c r="AB129" s="178">
        <v>1140500</v>
      </c>
      <c r="AC129" s="178">
        <v>1140500</v>
      </c>
      <c r="AD129" s="178">
        <v>1140500</v>
      </c>
      <c r="AE129" s="178">
        <v>1140500</v>
      </c>
      <c r="AF129" s="178">
        <v>1140500</v>
      </c>
      <c r="AG129" s="178">
        <v>1140500</v>
      </c>
      <c r="AH129" s="178">
        <v>1140500</v>
      </c>
      <c r="AI129" s="178">
        <v>1140500</v>
      </c>
      <c r="AJ129" s="178">
        <v>1140500</v>
      </c>
      <c r="AS129" s="1"/>
    </row>
    <row r="130" spans="1:45">
      <c r="AK130"/>
      <c r="AL130"/>
      <c r="AM130"/>
      <c r="AN130"/>
      <c r="AO130"/>
      <c r="AP130"/>
      <c r="AQ130"/>
      <c r="AR130"/>
    </row>
    <row r="131" spans="1:45" customFormat="1" ht="16" thickBot="1">
      <c r="A131" s="59" t="s">
        <v>397</v>
      </c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</row>
    <row r="132" spans="1:45" ht="30" customHeight="1">
      <c r="A132"/>
      <c r="D132" s="255" t="str">
        <f>"Recommended Value per Hour ("&amp;'BCA Summary'!C37&amp;" $)"</f>
        <v>Recommended Value per Hour (2024 $)</v>
      </c>
      <c r="E132" s="255"/>
      <c r="F132" s="250"/>
      <c r="AK132"/>
      <c r="AL132"/>
    </row>
    <row r="133" spans="1:45" ht="28">
      <c r="A133" t="s">
        <v>398</v>
      </c>
      <c r="D133" s="240" t="s">
        <v>399</v>
      </c>
      <c r="E133" s="242" t="s">
        <v>400</v>
      </c>
      <c r="F133" s="242"/>
      <c r="H133" s="1" t="s">
        <v>401</v>
      </c>
      <c r="AK133"/>
      <c r="AL133"/>
    </row>
    <row r="134" spans="1:45">
      <c r="B134" s="1" t="s">
        <v>402</v>
      </c>
    </row>
    <row r="135" spans="1:45">
      <c r="C135" s="1" t="s">
        <v>403</v>
      </c>
      <c r="D135" s="163">
        <v>259</v>
      </c>
      <c r="E135" s="163">
        <v>799</v>
      </c>
    </row>
    <row r="136" spans="1:45">
      <c r="C136" s="1" t="s">
        <v>404</v>
      </c>
      <c r="D136" s="163">
        <v>281</v>
      </c>
      <c r="E136" s="163">
        <v>109</v>
      </c>
    </row>
    <row r="137" spans="1:45">
      <c r="C137" s="1" t="s">
        <v>405</v>
      </c>
      <c r="D137" s="163">
        <v>723</v>
      </c>
      <c r="E137" s="163">
        <v>109</v>
      </c>
    </row>
    <row r="138" spans="1:45">
      <c r="C138" t="s">
        <v>406</v>
      </c>
      <c r="D138" s="163">
        <v>327</v>
      </c>
      <c r="E138" s="163">
        <v>109</v>
      </c>
    </row>
    <row r="139" spans="1:45">
      <c r="B139" s="1" t="s">
        <v>407</v>
      </c>
    </row>
    <row r="140" spans="1:45">
      <c r="C140" s="1" t="s">
        <v>403</v>
      </c>
      <c r="D140" s="163">
        <v>655</v>
      </c>
      <c r="E140" s="163">
        <v>2356</v>
      </c>
    </row>
    <row r="141" spans="1:45">
      <c r="C141" s="1" t="s">
        <v>404</v>
      </c>
      <c r="D141" s="163">
        <v>642</v>
      </c>
      <c r="E141" s="163">
        <v>780</v>
      </c>
    </row>
    <row r="142" spans="1:45">
      <c r="C142" s="1" t="s">
        <v>405</v>
      </c>
      <c r="D142" s="163">
        <v>1084</v>
      </c>
      <c r="E142" s="163">
        <v>780</v>
      </c>
    </row>
    <row r="143" spans="1:45">
      <c r="C143" t="s">
        <v>406</v>
      </c>
      <c r="D143" s="163">
        <v>688</v>
      </c>
      <c r="E143" s="163">
        <v>780</v>
      </c>
    </row>
    <row r="144" spans="1:45">
      <c r="B144" s="1" t="s">
        <v>408</v>
      </c>
    </row>
    <row r="145" spans="1:44">
      <c r="C145" s="1" t="s">
        <v>409</v>
      </c>
      <c r="D145" s="166">
        <v>1.0900000000000001</v>
      </c>
      <c r="E145" s="166">
        <v>0</v>
      </c>
    </row>
    <row r="147" spans="1:44" ht="18">
      <c r="C147" s="148" t="str">
        <f>"NOTE: Many of the per-unit costs and factors cited above are shown in "&amp;'BCA Summary'!B36</f>
        <v>NOTE: Many of the per-unit costs and factors cited above are shown in Appendix A of the USDOT Benefit-Cost Analysis Guidance for Discretionary Grant Programs, December 2025</v>
      </c>
      <c r="E147" s="1"/>
      <c r="AE147" s="22"/>
      <c r="AI147" s="22"/>
      <c r="AJ147" s="22"/>
      <c r="AN147" s="22"/>
      <c r="AO147" s="22"/>
      <c r="AP147" s="22"/>
    </row>
    <row r="148" spans="1:44" customFormat="1" ht="16" thickBot="1">
      <c r="A148" s="59" t="s">
        <v>31</v>
      </c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  <c r="AN148" s="32"/>
      <c r="AO148" s="32"/>
      <c r="AP148" s="32"/>
      <c r="AQ148" s="32"/>
      <c r="AR148" s="32"/>
    </row>
    <row r="149" spans="1:44">
      <c r="A149" s="90" t="s">
        <v>227</v>
      </c>
      <c r="AE149" s="22"/>
    </row>
    <row r="150" spans="1:44">
      <c r="D150" t="s">
        <v>120</v>
      </c>
      <c r="E150" t="s">
        <v>121</v>
      </c>
      <c r="F150" t="s">
        <v>122</v>
      </c>
      <c r="G150" t="s">
        <v>123</v>
      </c>
      <c r="H150" t="s">
        <v>124</v>
      </c>
      <c r="I150" t="s">
        <v>125</v>
      </c>
      <c r="J150" t="s">
        <v>126</v>
      </c>
      <c r="K150" t="s">
        <v>127</v>
      </c>
      <c r="L150" t="s">
        <v>128</v>
      </c>
      <c r="M150" t="s">
        <v>129</v>
      </c>
      <c r="N150" t="s">
        <v>130</v>
      </c>
      <c r="O150" t="s">
        <v>131</v>
      </c>
      <c r="AE150" s="22"/>
    </row>
    <row r="151" spans="1:44">
      <c r="A151" t="s">
        <v>450</v>
      </c>
      <c r="D151" s="213">
        <v>18103</v>
      </c>
      <c r="E151" s="213">
        <v>19782</v>
      </c>
      <c r="F151" s="213">
        <v>21266</v>
      </c>
      <c r="G151" s="213">
        <v>21799</v>
      </c>
      <c r="H151" s="213">
        <v>22431</v>
      </c>
      <c r="I151" s="213">
        <v>22695</v>
      </c>
      <c r="J151" s="213">
        <v>22273</v>
      </c>
      <c r="K151" s="213">
        <v>22647</v>
      </c>
      <c r="L151" s="213">
        <v>22427</v>
      </c>
      <c r="M151" s="213">
        <v>23026</v>
      </c>
      <c r="N151" s="213">
        <v>20716</v>
      </c>
      <c r="O151" s="213">
        <v>19721</v>
      </c>
      <c r="AE151" s="22"/>
    </row>
    <row r="152" spans="1:44" ht="14">
      <c r="B152" t="s">
        <v>430</v>
      </c>
      <c r="D152" s="243">
        <f>AVERAGE(D151:O151)</f>
        <v>21407.166666666668</v>
      </c>
      <c r="E152" s="52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AE152" s="22"/>
    </row>
    <row r="153" spans="1:44">
      <c r="E153" s="1"/>
      <c r="AE153" s="22"/>
    </row>
    <row r="154" spans="1:44" ht="14">
      <c r="C154" t="s">
        <v>209</v>
      </c>
      <c r="D154" s="243">
        <f>AVERAGE(H156:H159)</f>
        <v>23024.634615384617</v>
      </c>
      <c r="F154" s="110"/>
      <c r="G154" s="1"/>
      <c r="H154" s="1" t="s">
        <v>451</v>
      </c>
      <c r="I154" s="142"/>
      <c r="J154"/>
    </row>
    <row r="155" spans="1:44" ht="14">
      <c r="C155" t="s">
        <v>208</v>
      </c>
      <c r="D155" s="243">
        <f>AVERAGE(H155,H160:H161)</f>
        <v>19235.919934640522</v>
      </c>
      <c r="G155" s="170" t="s">
        <v>201</v>
      </c>
      <c r="H155" s="213">
        <v>21719.26923076923</v>
      </c>
      <c r="I155" s="95"/>
    </row>
    <row r="156" spans="1:44" ht="14">
      <c r="C156" t="s">
        <v>132</v>
      </c>
      <c r="D156" s="244">
        <f>D155/D154</f>
        <v>0.83544951987153149</v>
      </c>
      <c r="G156" s="141" t="s">
        <v>202</v>
      </c>
      <c r="H156" s="213">
        <v>22378.384615384617</v>
      </c>
    </row>
    <row r="157" spans="1:44" ht="14">
      <c r="C157" t="s">
        <v>210</v>
      </c>
      <c r="D157" s="243">
        <f>AVERAGE(H157:H159)</f>
        <v>23240.051282051281</v>
      </c>
      <c r="G157" s="170" t="s">
        <v>203</v>
      </c>
      <c r="H157" s="213">
        <v>22330.576923076922</v>
      </c>
    </row>
    <row r="158" spans="1:44" ht="14">
      <c r="C158" t="s">
        <v>431</v>
      </c>
      <c r="D158" s="243">
        <f>AVERAGE(H155,H161)</f>
        <v>18798.8895173454</v>
      </c>
      <c r="G158" s="141" t="s">
        <v>204</v>
      </c>
      <c r="H158" s="213">
        <v>23166.942307692309</v>
      </c>
    </row>
    <row r="159" spans="1:44" ht="14">
      <c r="C159" t="s">
        <v>132</v>
      </c>
      <c r="D159" s="244">
        <f>D158/D157</f>
        <v>0.8089005178686558</v>
      </c>
      <c r="G159" s="170" t="s">
        <v>205</v>
      </c>
      <c r="H159" s="213">
        <v>24222.634615384617</v>
      </c>
    </row>
    <row r="160" spans="1:44" ht="14">
      <c r="C160" t="s">
        <v>212</v>
      </c>
      <c r="D160" s="243">
        <f>AVERAGE(H156:H160)</f>
        <v>22441.703846153847</v>
      </c>
      <c r="G160" s="141" t="s">
        <v>206</v>
      </c>
      <c r="H160" s="213">
        <v>20109.98076923077</v>
      </c>
    </row>
    <row r="161" spans="3:8" ht="14">
      <c r="C161" t="s">
        <v>211</v>
      </c>
      <c r="D161" s="243">
        <f>AVERAGE(H155,H161)</f>
        <v>18798.8895173454</v>
      </c>
      <c r="G161" s="170" t="s">
        <v>207</v>
      </c>
      <c r="H161" s="213">
        <v>15878.509803921568</v>
      </c>
    </row>
    <row r="162" spans="3:8" ht="14">
      <c r="C162" t="s">
        <v>132</v>
      </c>
      <c r="D162" s="244">
        <f>D161/D160</f>
        <v>0.83767657064805412</v>
      </c>
    </row>
    <row r="163" spans="3:8">
      <c r="C163"/>
    </row>
    <row r="164" spans="3:8">
      <c r="C164" t="s">
        <v>132</v>
      </c>
      <c r="D164" s="172">
        <v>0.8</v>
      </c>
      <c r="F164" s="116" t="s">
        <v>410</v>
      </c>
    </row>
    <row r="165" spans="3:8">
      <c r="C165" t="s">
        <v>133</v>
      </c>
      <c r="D165">
        <v>365</v>
      </c>
    </row>
    <row r="166" spans="3:8">
      <c r="C166" t="s">
        <v>134</v>
      </c>
      <c r="D166">
        <v>260</v>
      </c>
    </row>
    <row r="167" spans="3:8">
      <c r="C167" t="s">
        <v>135</v>
      </c>
      <c r="D167" s="1">
        <f>D165-D166</f>
        <v>105</v>
      </c>
    </row>
    <row r="168" spans="3:8">
      <c r="C168" t="s">
        <v>31</v>
      </c>
      <c r="D168" s="109">
        <f>D166+MROUND((D167*D164),5)</f>
        <v>345</v>
      </c>
    </row>
  </sheetData>
  <mergeCells count="1">
    <mergeCell ref="D132:E132"/>
  </mergeCells>
  <phoneticPr fontId="71" type="noConversion"/>
  <pageMargins left="0.25" right="0.25" top="0.75" bottom="0.75" header="0.3" footer="0.3"/>
  <pageSetup paperSize="17" scale="31" orientation="landscape" r:id="rId1"/>
  <rowBreaks count="1" manualBreakCount="1">
    <brk id="71" max="31" man="1"/>
  </rowBreaks>
  <colBreaks count="1" manualBreakCount="1">
    <brk id="3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6"/>
    <pageSetUpPr fitToPage="1"/>
  </sheetPr>
  <dimension ref="A1:AS63"/>
  <sheetViews>
    <sheetView topLeftCell="A2" zoomScale="85" zoomScaleNormal="85" workbookViewId="0">
      <selection activeCell="B25" sqref="B25"/>
    </sheetView>
  </sheetViews>
  <sheetFormatPr baseColWidth="10" defaultColWidth="9.19921875" defaultRowHeight="13"/>
  <cols>
    <col min="1" max="2" width="3.3984375" style="1" customWidth="1"/>
    <col min="3" max="3" width="42.796875" style="1" customWidth="1"/>
    <col min="4" max="4" width="33.796875" style="1" customWidth="1"/>
    <col min="5" max="5" width="13.796875" style="22" bestFit="1" customWidth="1"/>
    <col min="6" max="15" width="13.19921875" style="22" customWidth="1"/>
    <col min="16" max="18" width="14.3984375" style="22" bestFit="1" customWidth="1"/>
    <col min="19" max="30" width="13.19921875" style="22" customWidth="1"/>
    <col min="31" max="45" width="13.19921875" style="1" customWidth="1"/>
    <col min="46" max="16384" width="9.19921875" style="1"/>
  </cols>
  <sheetData>
    <row r="1" spans="1:45" ht="20" thickBot="1">
      <c r="A1" s="19" t="s">
        <v>17</v>
      </c>
      <c r="B1" s="19"/>
      <c r="C1" s="19"/>
      <c r="D1" s="19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</row>
    <row r="2" spans="1:45" ht="19" thickTop="1" thickBot="1">
      <c r="A2" s="2" t="str">
        <f>'BCA Summary'!A2</f>
        <v>US 85/120th Avenue Grade-Separation and Interchange Project</v>
      </c>
      <c r="B2" s="17"/>
      <c r="C2" s="17"/>
      <c r="D2" s="17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</row>
    <row r="3" spans="1:45" ht="14" thickTop="1"/>
    <row r="4" spans="1:45">
      <c r="A4" s="23" t="s">
        <v>18</v>
      </c>
      <c r="B4" s="23"/>
      <c r="C4" s="23"/>
      <c r="D4" s="23"/>
    </row>
    <row r="5" spans="1:45">
      <c r="A5" s="23"/>
      <c r="B5" s="23"/>
      <c r="C5" s="23"/>
      <c r="D5" s="23"/>
    </row>
    <row r="6" spans="1:45" s="18" customFormat="1" ht="17">
      <c r="A6" s="24"/>
      <c r="B6" s="24"/>
      <c r="C6" s="24"/>
      <c r="D6" s="24"/>
      <c r="E6" s="150">
        <v>2003</v>
      </c>
      <c r="F6" s="150">
        <v>2011</v>
      </c>
      <c r="G6" s="150">
        <v>2017</v>
      </c>
      <c r="H6" s="150">
        <v>2018</v>
      </c>
      <c r="I6" s="150">
        <v>2019</v>
      </c>
      <c r="J6" s="150">
        <v>2020</v>
      </c>
      <c r="K6" s="150">
        <v>2021</v>
      </c>
      <c r="L6" s="150">
        <v>2022</v>
      </c>
      <c r="M6" s="150">
        <v>2023</v>
      </c>
      <c r="N6" s="150">
        <v>2024</v>
      </c>
      <c r="O6" s="150">
        <v>2025</v>
      </c>
      <c r="P6" s="150">
        <v>2026</v>
      </c>
      <c r="Q6" s="150">
        <v>2027</v>
      </c>
      <c r="R6" s="150">
        <v>2028</v>
      </c>
      <c r="S6" s="150">
        <v>2029</v>
      </c>
      <c r="T6" s="150">
        <v>2030</v>
      </c>
      <c r="U6" s="150">
        <v>2031</v>
      </c>
      <c r="V6" s="150">
        <v>2032</v>
      </c>
      <c r="W6" s="150">
        <v>2033</v>
      </c>
      <c r="X6" s="150">
        <v>2034</v>
      </c>
      <c r="Y6" s="150">
        <v>2035</v>
      </c>
      <c r="Z6" s="150">
        <v>2036</v>
      </c>
      <c r="AA6" s="150">
        <v>2037</v>
      </c>
      <c r="AB6" s="150">
        <v>2038</v>
      </c>
      <c r="AC6" s="150">
        <v>2039</v>
      </c>
      <c r="AD6" s="150">
        <v>2040</v>
      </c>
      <c r="AE6" s="150">
        <v>2041</v>
      </c>
      <c r="AF6" s="150">
        <v>2042</v>
      </c>
      <c r="AG6" s="150">
        <v>2043</v>
      </c>
      <c r="AH6" s="150">
        <v>2044</v>
      </c>
      <c r="AI6" s="150">
        <v>2045</v>
      </c>
      <c r="AJ6" s="150">
        <v>2046</v>
      </c>
      <c r="AK6" s="150">
        <v>2047</v>
      </c>
      <c r="AL6" s="150">
        <v>2048</v>
      </c>
      <c r="AM6" s="150">
        <v>2049</v>
      </c>
      <c r="AN6" s="150">
        <v>2050</v>
      </c>
      <c r="AO6" s="150">
        <v>2051</v>
      </c>
      <c r="AP6" s="150">
        <v>2052</v>
      </c>
      <c r="AQ6" s="150">
        <v>2053</v>
      </c>
      <c r="AR6" s="150">
        <v>2054</v>
      </c>
      <c r="AS6" s="150">
        <v>2055</v>
      </c>
    </row>
    <row r="7" spans="1:45" s="18" customFormat="1">
      <c r="A7" s="154" t="str">
        <f>"BASELINE (No "&amp;'BCA Summary'!E1&amp;")"</f>
        <v>BASELINE (No BUILD Grant)</v>
      </c>
      <c r="B7" s="24"/>
      <c r="C7" s="24"/>
      <c r="D7" s="24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</row>
    <row r="8" spans="1:45" ht="14">
      <c r="B8" s="1" t="s">
        <v>4</v>
      </c>
      <c r="E8" s="25" t="s">
        <v>20</v>
      </c>
      <c r="F8" s="25" t="s">
        <v>20</v>
      </c>
      <c r="G8" s="25" t="s">
        <v>20</v>
      </c>
      <c r="H8" s="25" t="s">
        <v>20</v>
      </c>
      <c r="I8" s="25" t="s">
        <v>20</v>
      </c>
      <c r="J8" s="25" t="s">
        <v>20</v>
      </c>
      <c r="K8" s="25" t="s">
        <v>20</v>
      </c>
      <c r="L8" s="25" t="s">
        <v>20</v>
      </c>
      <c r="M8" s="25" t="s">
        <v>20</v>
      </c>
      <c r="N8" s="25" t="s">
        <v>20</v>
      </c>
      <c r="O8" s="25" t="s">
        <v>20</v>
      </c>
      <c r="P8" s="25" t="s">
        <v>20</v>
      </c>
      <c r="Q8" s="25" t="s">
        <v>20</v>
      </c>
      <c r="R8" s="25" t="s">
        <v>20</v>
      </c>
      <c r="S8" s="25" t="s">
        <v>20</v>
      </c>
      <c r="T8" s="25" t="s">
        <v>20</v>
      </c>
      <c r="U8" s="25" t="s">
        <v>20</v>
      </c>
      <c r="V8" s="25" t="s">
        <v>20</v>
      </c>
      <c r="W8" s="25" t="s">
        <v>20</v>
      </c>
      <c r="X8" s="25" t="s">
        <v>20</v>
      </c>
      <c r="Y8" s="25" t="s">
        <v>20</v>
      </c>
      <c r="Z8" s="25" t="s">
        <v>20</v>
      </c>
      <c r="AA8" s="25" t="s">
        <v>20</v>
      </c>
      <c r="AB8" s="25" t="s">
        <v>20</v>
      </c>
      <c r="AC8" s="25" t="s">
        <v>20</v>
      </c>
      <c r="AD8" s="25" t="s">
        <v>20</v>
      </c>
      <c r="AE8" s="25" t="s">
        <v>20</v>
      </c>
      <c r="AF8" s="25" t="s">
        <v>20</v>
      </c>
      <c r="AG8" s="25" t="s">
        <v>20</v>
      </c>
      <c r="AH8" s="25" t="s">
        <v>20</v>
      </c>
      <c r="AI8" s="25" t="s">
        <v>20</v>
      </c>
      <c r="AJ8" s="25" t="s">
        <v>20</v>
      </c>
      <c r="AK8" s="25" t="s">
        <v>20</v>
      </c>
      <c r="AL8" s="25" t="s">
        <v>20</v>
      </c>
      <c r="AM8" s="25" t="s">
        <v>20</v>
      </c>
      <c r="AN8" s="25" t="s">
        <v>20</v>
      </c>
      <c r="AO8" s="25" t="s">
        <v>20</v>
      </c>
      <c r="AP8" s="25" t="s">
        <v>20</v>
      </c>
      <c r="AQ8" s="25" t="s">
        <v>20</v>
      </c>
      <c r="AR8" s="25" t="s">
        <v>20</v>
      </c>
      <c r="AS8" s="25" t="s">
        <v>20</v>
      </c>
    </row>
    <row r="9" spans="1:45"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</row>
    <row r="10" spans="1:45">
      <c r="A10" s="26" t="str">
        <f>"PREFERRED (With "&amp;'BCA Summary'!E1&amp;")"</f>
        <v>PREFERRED (With BUILD Grant)</v>
      </c>
      <c r="B10" s="26"/>
      <c r="C10" s="26"/>
      <c r="D10" s="26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</row>
    <row r="11" spans="1:45" ht="16" thickBot="1">
      <c r="A11" s="32" t="str">
        <f>'BCA Summary'!A2</f>
        <v>US 85/120th Avenue Grade-Separation and Interchange Project</v>
      </c>
      <c r="B11" s="32"/>
      <c r="C11" s="32"/>
      <c r="D11" s="32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</row>
    <row r="12" spans="1:45" ht="15" customHeight="1">
      <c r="B12" s="257" t="s">
        <v>19</v>
      </c>
      <c r="C12" s="257"/>
      <c r="G12" s="259" t="s">
        <v>160</v>
      </c>
      <c r="H12" s="259"/>
      <c r="I12" s="161" t="s">
        <v>162</v>
      </c>
      <c r="J12" s="161" t="s">
        <v>21</v>
      </c>
      <c r="K12" s="161" t="s">
        <v>21</v>
      </c>
      <c r="L12" s="161" t="s">
        <v>21</v>
      </c>
      <c r="M12" s="161" t="s">
        <v>21</v>
      </c>
      <c r="Q12" s="256" t="s">
        <v>22</v>
      </c>
      <c r="R12" s="256"/>
      <c r="S12" s="256"/>
      <c r="T12" s="33" t="s">
        <v>23</v>
      </c>
    </row>
    <row r="13" spans="1:45" ht="15" customHeight="1">
      <c r="B13" s="258"/>
      <c r="C13" s="258"/>
      <c r="E13" s="260" t="s">
        <v>163</v>
      </c>
      <c r="F13" s="260"/>
      <c r="G13" s="160"/>
      <c r="H13" s="160"/>
      <c r="I13" s="1"/>
      <c r="J13" s="160"/>
      <c r="K13" s="1"/>
      <c r="L13" s="260" t="s">
        <v>163</v>
      </c>
      <c r="M13" s="260"/>
      <c r="P13" s="260" t="s">
        <v>163</v>
      </c>
      <c r="Q13" s="260"/>
      <c r="R13" s="260"/>
    </row>
    <row r="14" spans="1:45" ht="15" customHeight="1">
      <c r="B14" s="258"/>
      <c r="C14" s="258"/>
      <c r="G14" s="260" t="s">
        <v>420</v>
      </c>
      <c r="H14" s="260"/>
      <c r="I14" s="260"/>
      <c r="K14" s="160"/>
      <c r="L14" s="160"/>
      <c r="M14" s="160"/>
      <c r="N14" s="160"/>
      <c r="O14" s="260" t="s">
        <v>470</v>
      </c>
      <c r="P14" s="260"/>
    </row>
    <row r="15" spans="1:45" ht="15" customHeight="1">
      <c r="B15" s="258"/>
      <c r="C15" s="258"/>
      <c r="I15" s="1"/>
      <c r="J15" s="160"/>
      <c r="K15" s="1"/>
      <c r="L15" s="160"/>
      <c r="P15" s="260" t="s">
        <v>378</v>
      </c>
      <c r="Q15" s="260"/>
      <c r="R15" s="260"/>
      <c r="S15" s="260"/>
    </row>
    <row r="16" spans="1:45" ht="15" customHeight="1">
      <c r="B16" s="258"/>
      <c r="C16" s="258"/>
      <c r="G16" s="260" t="s">
        <v>25</v>
      </c>
      <c r="H16" s="260"/>
      <c r="I16" s="260"/>
      <c r="J16" s="260"/>
      <c r="K16" s="160"/>
      <c r="L16" s="160"/>
      <c r="M16" s="160"/>
    </row>
    <row r="17" spans="1:45" ht="14">
      <c r="B17" s="1" t="s">
        <v>4</v>
      </c>
      <c r="E17" s="25"/>
      <c r="F17" s="25"/>
      <c r="G17" s="25"/>
      <c r="H17" s="25" t="s">
        <v>20</v>
      </c>
      <c r="I17" s="25" t="s">
        <v>20</v>
      </c>
      <c r="J17" s="25" t="s">
        <v>20</v>
      </c>
      <c r="K17" s="25" t="s">
        <v>20</v>
      </c>
      <c r="L17" s="25" t="s">
        <v>20</v>
      </c>
      <c r="M17" s="30" t="s">
        <v>20</v>
      </c>
      <c r="N17" s="30" t="s">
        <v>20</v>
      </c>
      <c r="O17" s="30" t="s">
        <v>20</v>
      </c>
      <c r="P17" s="30" t="s">
        <v>20</v>
      </c>
      <c r="Q17" s="30" t="s">
        <v>20</v>
      </c>
      <c r="R17" s="30" t="s">
        <v>20</v>
      </c>
      <c r="S17" s="30" t="s">
        <v>20</v>
      </c>
      <c r="T17" s="30" t="s">
        <v>24</v>
      </c>
      <c r="U17" s="30" t="s">
        <v>24</v>
      </c>
      <c r="V17" s="30" t="s">
        <v>24</v>
      </c>
      <c r="W17" s="30" t="s">
        <v>24</v>
      </c>
      <c r="X17" s="30" t="s">
        <v>24</v>
      </c>
      <c r="Y17" s="30" t="s">
        <v>24</v>
      </c>
      <c r="Z17" s="30" t="s">
        <v>24</v>
      </c>
      <c r="AA17" s="30" t="s">
        <v>24</v>
      </c>
      <c r="AB17" s="30" t="s">
        <v>24</v>
      </c>
      <c r="AC17" s="30" t="s">
        <v>24</v>
      </c>
      <c r="AD17" s="30" t="s">
        <v>24</v>
      </c>
      <c r="AE17" s="30" t="s">
        <v>24</v>
      </c>
      <c r="AF17" s="30" t="s">
        <v>24</v>
      </c>
      <c r="AG17" s="30" t="s">
        <v>24</v>
      </c>
      <c r="AH17" s="30" t="s">
        <v>24</v>
      </c>
      <c r="AI17" s="30" t="s">
        <v>24</v>
      </c>
      <c r="AJ17" s="30" t="s">
        <v>24</v>
      </c>
      <c r="AK17" s="30" t="s">
        <v>24</v>
      </c>
      <c r="AL17" s="30" t="s">
        <v>24</v>
      </c>
      <c r="AM17" s="30" t="s">
        <v>24</v>
      </c>
      <c r="AN17" s="30" t="s">
        <v>24</v>
      </c>
      <c r="AO17" s="30" t="s">
        <v>24</v>
      </c>
      <c r="AP17" s="30" t="s">
        <v>24</v>
      </c>
      <c r="AQ17" s="30" t="s">
        <v>24</v>
      </c>
      <c r="AR17" s="30" t="s">
        <v>24</v>
      </c>
      <c r="AS17" s="30" t="s">
        <v>24</v>
      </c>
    </row>
    <row r="18" spans="1:45">
      <c r="B18" t="s">
        <v>418</v>
      </c>
      <c r="C18"/>
      <c r="D18" s="27">
        <f>SUM(E18:AF18)</f>
        <v>156085843.71599999</v>
      </c>
      <c r="E18" s="29"/>
      <c r="F18" s="29"/>
      <c r="G18" s="29"/>
      <c r="H18" s="29">
        <f>SUM(E27:H27,E36:H36,E41:H41,E43:H43,E45:H45)</f>
        <v>2757323.8959999997</v>
      </c>
      <c r="I18" s="29">
        <f t="shared" ref="I18:T18" si="0">SUM(I27,I36,I41,I43,I45)</f>
        <v>1142627.2</v>
      </c>
      <c r="J18" s="29">
        <f t="shared" si="0"/>
        <v>173499.62</v>
      </c>
      <c r="K18" s="29">
        <f t="shared" si="0"/>
        <v>0</v>
      </c>
      <c r="L18" s="29">
        <f t="shared" si="0"/>
        <v>2385000</v>
      </c>
      <c r="M18" s="29">
        <f t="shared" si="0"/>
        <v>4080000</v>
      </c>
      <c r="N18" s="29">
        <f t="shared" si="0"/>
        <v>0</v>
      </c>
      <c r="O18" s="29">
        <f t="shared" si="0"/>
        <v>587760</v>
      </c>
      <c r="P18" s="29">
        <f t="shared" si="0"/>
        <v>4706414</v>
      </c>
      <c r="Q18" s="29">
        <f t="shared" si="0"/>
        <v>24937140</v>
      </c>
      <c r="R18" s="29">
        <f t="shared" si="0"/>
        <v>64658039.5</v>
      </c>
      <c r="S18" s="29">
        <f t="shared" si="0"/>
        <v>50658039.5</v>
      </c>
      <c r="T18" s="29">
        <f t="shared" si="0"/>
        <v>0</v>
      </c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</row>
    <row r="19" spans="1:45">
      <c r="H19" s="1" t="s">
        <v>419</v>
      </c>
    </row>
    <row r="21" spans="1:45" ht="16" thickBot="1">
      <c r="A21" s="32" t="s">
        <v>147</v>
      </c>
      <c r="B21" s="32"/>
      <c r="C21" s="32"/>
      <c r="D21" s="3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</row>
    <row r="22" spans="1:45" ht="17">
      <c r="E22" s="150">
        <v>2003</v>
      </c>
      <c r="F22" s="150">
        <v>2011</v>
      </c>
      <c r="G22" s="150">
        <v>2017</v>
      </c>
      <c r="H22" s="150">
        <v>2018</v>
      </c>
      <c r="I22" s="150">
        <v>2019</v>
      </c>
      <c r="J22" s="150">
        <v>2020</v>
      </c>
      <c r="K22" s="150">
        <v>2021</v>
      </c>
      <c r="L22" s="150">
        <v>2022</v>
      </c>
      <c r="M22" s="150">
        <v>2023</v>
      </c>
      <c r="N22" s="150">
        <v>2024</v>
      </c>
      <c r="O22" s="150">
        <v>2025</v>
      </c>
      <c r="P22" s="150">
        <v>2026</v>
      </c>
      <c r="Q22" s="150">
        <v>2027</v>
      </c>
      <c r="R22" s="150">
        <v>2028</v>
      </c>
      <c r="S22" s="150">
        <v>2029</v>
      </c>
      <c r="T22" s="150">
        <v>2030</v>
      </c>
      <c r="V22" s="150"/>
      <c r="W22" s="150"/>
      <c r="X22" s="150"/>
      <c r="Y22" s="150"/>
      <c r="Z22" s="150"/>
      <c r="AA22" s="150"/>
      <c r="AB22" s="150"/>
    </row>
    <row r="23" spans="1:45" ht="14">
      <c r="A23" t="s">
        <v>462</v>
      </c>
      <c r="E23" s="251">
        <f>L25*L23</f>
        <v>1.6218000000000001</v>
      </c>
      <c r="F23" s="109">
        <v>1.37</v>
      </c>
      <c r="G23" s="109">
        <v>1.25</v>
      </c>
      <c r="H23" s="109">
        <v>1.23</v>
      </c>
      <c r="I23" s="109">
        <v>1.21</v>
      </c>
      <c r="J23" s="109">
        <v>1.19</v>
      </c>
      <c r="K23" s="109">
        <v>1.1399999999999999</v>
      </c>
      <c r="L23" s="165">
        <v>1.06</v>
      </c>
      <c r="M23" s="165">
        <v>1.02</v>
      </c>
      <c r="N23" s="165">
        <v>1</v>
      </c>
      <c r="O23" s="245">
        <v>1</v>
      </c>
      <c r="P23" s="245">
        <v>1</v>
      </c>
      <c r="Q23" s="245">
        <v>1</v>
      </c>
      <c r="R23" s="245">
        <v>1</v>
      </c>
      <c r="S23" s="245">
        <v>1</v>
      </c>
      <c r="T23" s="245">
        <v>1</v>
      </c>
      <c r="U23" s="1"/>
      <c r="V23" s="248"/>
      <c r="W23" s="248"/>
      <c r="X23" s="248"/>
      <c r="Y23" s="248"/>
      <c r="Z23" s="248"/>
      <c r="AA23" s="248"/>
      <c r="AB23" s="248"/>
      <c r="AC23" s="248"/>
    </row>
    <row r="24" spans="1:45">
      <c r="B24" t="s">
        <v>452</v>
      </c>
      <c r="V24" s="248"/>
      <c r="W24" s="248"/>
      <c r="X24" s="248"/>
      <c r="Y24" s="248"/>
      <c r="Z24" s="248"/>
      <c r="AA24" s="248"/>
      <c r="AB24" s="248"/>
      <c r="AC24" s="248"/>
      <c r="AD24" s="248"/>
      <c r="AE24" s="248"/>
      <c r="AF24" s="248"/>
    </row>
    <row r="25" spans="1:45">
      <c r="B25" t="s">
        <v>436</v>
      </c>
      <c r="J25" s="261" t="s">
        <v>475</v>
      </c>
      <c r="K25" s="261"/>
      <c r="L25" s="109">
        <v>1.53</v>
      </c>
      <c r="V25" s="248"/>
      <c r="W25" s="248"/>
      <c r="X25" s="248"/>
      <c r="Y25" s="248"/>
      <c r="Z25" s="248"/>
      <c r="AA25" s="248"/>
      <c r="AB25" s="248"/>
      <c r="AC25" s="248"/>
      <c r="AD25" s="248"/>
      <c r="AE25" s="248"/>
      <c r="AF25" s="248"/>
    </row>
    <row r="26" spans="1:45">
      <c r="A26" s="1" t="s">
        <v>22</v>
      </c>
      <c r="Q26" s="163">
        <v>5000000</v>
      </c>
      <c r="R26" s="163">
        <f>(E49-Q26)/2</f>
        <v>47647700.5</v>
      </c>
      <c r="S26" s="163">
        <f>R26</f>
        <v>47647700.5</v>
      </c>
      <c r="V26" s="248"/>
      <c r="W26" s="248"/>
      <c r="X26" s="248"/>
      <c r="Y26" s="248"/>
      <c r="Z26" s="248"/>
      <c r="AA26" s="248"/>
      <c r="AB26" s="248"/>
      <c r="AC26" s="248"/>
    </row>
    <row r="27" spans="1:45">
      <c r="C27" s="23" t="s">
        <v>453</v>
      </c>
      <c r="E27" s="246">
        <f>SUM(E26)*E23</f>
        <v>0</v>
      </c>
      <c r="F27" s="246">
        <f t="shared" ref="F27:S27" si="1">SUM(F26)*F23</f>
        <v>0</v>
      </c>
      <c r="G27" s="246">
        <f t="shared" si="1"/>
        <v>0</v>
      </c>
      <c r="H27" s="246">
        <f t="shared" si="1"/>
        <v>0</v>
      </c>
      <c r="I27" s="246">
        <f t="shared" si="1"/>
        <v>0</v>
      </c>
      <c r="J27" s="246">
        <f t="shared" si="1"/>
        <v>0</v>
      </c>
      <c r="K27" s="246">
        <f t="shared" si="1"/>
        <v>0</v>
      </c>
      <c r="L27" s="246">
        <f t="shared" si="1"/>
        <v>0</v>
      </c>
      <c r="M27" s="246">
        <f t="shared" si="1"/>
        <v>0</v>
      </c>
      <c r="N27" s="246">
        <f t="shared" si="1"/>
        <v>0</v>
      </c>
      <c r="O27" s="246">
        <f t="shared" si="1"/>
        <v>0</v>
      </c>
      <c r="P27" s="246">
        <f t="shared" si="1"/>
        <v>0</v>
      </c>
      <c r="Q27" s="246">
        <f t="shared" si="1"/>
        <v>5000000</v>
      </c>
      <c r="R27" s="246">
        <f t="shared" si="1"/>
        <v>47647700.5</v>
      </c>
      <c r="S27" s="246">
        <f t="shared" si="1"/>
        <v>47647700.5</v>
      </c>
      <c r="V27" s="248"/>
      <c r="W27" s="248"/>
      <c r="X27" s="248"/>
      <c r="Y27" s="248"/>
      <c r="Z27" s="248"/>
      <c r="AA27" s="248"/>
      <c r="AB27" s="248"/>
      <c r="AC27" s="248"/>
    </row>
    <row r="28" spans="1:45">
      <c r="A28" t="s">
        <v>416</v>
      </c>
      <c r="V28" s="248"/>
      <c r="W28" s="248"/>
      <c r="X28" s="248"/>
      <c r="Y28" s="248"/>
      <c r="Z28" s="248"/>
      <c r="AA28" s="248"/>
      <c r="AB28" s="248"/>
      <c r="AC28" s="248"/>
    </row>
    <row r="29" spans="1:45">
      <c r="B29" t="s">
        <v>412</v>
      </c>
      <c r="E29" s="163">
        <v>494270</v>
      </c>
      <c r="V29" s="248"/>
      <c r="W29" s="248"/>
      <c r="X29" s="248"/>
      <c r="Y29" s="248"/>
      <c r="Z29" s="248"/>
      <c r="AA29" s="248"/>
      <c r="AB29" s="248"/>
      <c r="AC29" s="248"/>
    </row>
    <row r="30" spans="1:45">
      <c r="B30" t="s">
        <v>413</v>
      </c>
      <c r="F30" s="163">
        <v>432153</v>
      </c>
    </row>
    <row r="31" spans="1:45">
      <c r="B31" t="s">
        <v>414</v>
      </c>
      <c r="L31" s="163">
        <v>1210000</v>
      </c>
    </row>
    <row r="32" spans="1:45">
      <c r="B32" t="s">
        <v>415</v>
      </c>
      <c r="L32" s="163">
        <v>1040000</v>
      </c>
    </row>
    <row r="33" spans="1:19">
      <c r="B33" s="1" t="s">
        <v>465</v>
      </c>
      <c r="M33" s="163">
        <v>4000000</v>
      </c>
    </row>
    <row r="34" spans="1:19">
      <c r="B34" t="s">
        <v>469</v>
      </c>
      <c r="P34" s="163">
        <v>1000000</v>
      </c>
      <c r="Q34" s="163">
        <v>4000000</v>
      </c>
    </row>
    <row r="35" spans="1:19">
      <c r="B35" t="s">
        <v>417</v>
      </c>
      <c r="Q35" s="163">
        <v>14000000</v>
      </c>
      <c r="R35" s="163">
        <v>14000000</v>
      </c>
    </row>
    <row r="36" spans="1:19">
      <c r="C36" s="23" t="s">
        <v>454</v>
      </c>
      <c r="E36" s="246">
        <f t="shared" ref="E36:N36" si="2">SUM(E29:E35)*E23</f>
        <v>801607.08600000001</v>
      </c>
      <c r="F36" s="246">
        <f t="shared" si="2"/>
        <v>592049.6100000001</v>
      </c>
      <c r="G36" s="246">
        <f t="shared" si="2"/>
        <v>0</v>
      </c>
      <c r="H36" s="246">
        <f t="shared" si="2"/>
        <v>0</v>
      </c>
      <c r="I36" s="246">
        <f t="shared" si="2"/>
        <v>0</v>
      </c>
      <c r="J36" s="246">
        <f t="shared" si="2"/>
        <v>0</v>
      </c>
      <c r="K36" s="246">
        <f t="shared" si="2"/>
        <v>0</v>
      </c>
      <c r="L36" s="246">
        <f t="shared" si="2"/>
        <v>2385000</v>
      </c>
      <c r="M36" s="246">
        <f t="shared" si="2"/>
        <v>4080000</v>
      </c>
      <c r="N36" s="246">
        <f t="shared" si="2"/>
        <v>0</v>
      </c>
      <c r="O36" s="246">
        <f t="shared" ref="O36" si="3">SUM(O29:O35)*O23</f>
        <v>0</v>
      </c>
      <c r="P36" s="246">
        <f t="shared" ref="P36" si="4">SUM(P29:P35)*P23</f>
        <v>1000000</v>
      </c>
      <c r="Q36" s="246">
        <f t="shared" ref="Q36" si="5">SUM(Q29:Q35)*Q23</f>
        <v>18000000</v>
      </c>
      <c r="R36" s="246">
        <f t="shared" ref="R36:S36" si="6">SUM(R29:R35)*R23</f>
        <v>14000000</v>
      </c>
      <c r="S36" s="246">
        <f t="shared" si="6"/>
        <v>0</v>
      </c>
    </row>
    <row r="37" spans="1:19">
      <c r="A37" s="1" t="s">
        <v>379</v>
      </c>
    </row>
    <row r="38" spans="1:19">
      <c r="B38" t="s">
        <v>471</v>
      </c>
      <c r="G38" s="163">
        <v>104400</v>
      </c>
      <c r="H38" s="163">
        <v>320480</v>
      </c>
      <c r="I38" s="163">
        <v>710720</v>
      </c>
      <c r="O38" s="163">
        <v>587760</v>
      </c>
      <c r="P38" s="163">
        <f>3321034-O38</f>
        <v>2733274</v>
      </c>
    </row>
    <row r="39" spans="1:19">
      <c r="B39" t="s">
        <v>168</v>
      </c>
      <c r="H39" s="163">
        <v>36000</v>
      </c>
      <c r="P39" s="163">
        <v>36000</v>
      </c>
    </row>
    <row r="40" spans="1:19">
      <c r="B40" t="s">
        <v>167</v>
      </c>
      <c r="G40" s="163">
        <v>63000</v>
      </c>
      <c r="H40" s="163">
        <v>63000</v>
      </c>
      <c r="I40" s="163">
        <v>126000</v>
      </c>
    </row>
    <row r="41" spans="1:19">
      <c r="C41" s="23" t="s">
        <v>455</v>
      </c>
      <c r="E41" s="246">
        <f t="shared" ref="E41:F41" si="7">SUM(E38:E40)*E23</f>
        <v>0</v>
      </c>
      <c r="F41" s="246">
        <f t="shared" si="7"/>
        <v>0</v>
      </c>
      <c r="G41" s="246">
        <f>SUM(G38:G40)*G23</f>
        <v>209250</v>
      </c>
      <c r="H41" s="246">
        <f t="shared" ref="H41:M41" si="8">SUM(H38:H40)*H23</f>
        <v>515960.39999999997</v>
      </c>
      <c r="I41" s="246">
        <f t="shared" si="8"/>
        <v>1012431.2</v>
      </c>
      <c r="J41" s="246">
        <f t="shared" si="8"/>
        <v>0</v>
      </c>
      <c r="K41" s="246">
        <f t="shared" si="8"/>
        <v>0</v>
      </c>
      <c r="L41" s="246">
        <f t="shared" si="8"/>
        <v>0</v>
      </c>
      <c r="M41" s="246">
        <f t="shared" si="8"/>
        <v>0</v>
      </c>
      <c r="N41" s="246">
        <f t="shared" ref="N41" si="9">SUM(N38:N40)*N23</f>
        <v>0</v>
      </c>
      <c r="O41" s="246">
        <f t="shared" ref="O41" si="10">SUM(O38:O40)*O23</f>
        <v>587760</v>
      </c>
      <c r="P41" s="246">
        <f t="shared" ref="P41" si="11">SUM(P38:P40)*P23</f>
        <v>2769274</v>
      </c>
      <c r="Q41" s="246">
        <f t="shared" ref="Q41" si="12">SUM(Q38:Q40)*Q23</f>
        <v>0</v>
      </c>
      <c r="R41" s="246">
        <f t="shared" ref="R41:S41" si="13">SUM(R38:R40)*R23</f>
        <v>0</v>
      </c>
      <c r="S41" s="246">
        <f t="shared" si="13"/>
        <v>0</v>
      </c>
    </row>
    <row r="42" spans="1:19">
      <c r="A42" s="1" t="s">
        <v>378</v>
      </c>
      <c r="P42" s="163">
        <f>1874280/2</f>
        <v>937140</v>
      </c>
      <c r="Q42" s="163">
        <f>1874280/2+1000000</f>
        <v>1937140</v>
      </c>
      <c r="R42" s="163">
        <f>6020678/2</f>
        <v>3010339</v>
      </c>
      <c r="S42" s="163">
        <f>6020678/2</f>
        <v>3010339</v>
      </c>
    </row>
    <row r="43" spans="1:19">
      <c r="C43" s="23" t="s">
        <v>456</v>
      </c>
      <c r="E43" s="246">
        <f t="shared" ref="E43:N43" si="14">E42*E23</f>
        <v>0</v>
      </c>
      <c r="F43" s="246">
        <f t="shared" si="14"/>
        <v>0</v>
      </c>
      <c r="G43" s="246">
        <f t="shared" si="14"/>
        <v>0</v>
      </c>
      <c r="H43" s="246">
        <f t="shared" si="14"/>
        <v>0</v>
      </c>
      <c r="I43" s="246">
        <f t="shared" si="14"/>
        <v>0</v>
      </c>
      <c r="J43" s="246">
        <f t="shared" si="14"/>
        <v>0</v>
      </c>
      <c r="K43" s="246">
        <f t="shared" si="14"/>
        <v>0</v>
      </c>
      <c r="L43" s="246">
        <f t="shared" si="14"/>
        <v>0</v>
      </c>
      <c r="M43" s="246">
        <f t="shared" si="14"/>
        <v>0</v>
      </c>
      <c r="N43" s="246">
        <f t="shared" si="14"/>
        <v>0</v>
      </c>
      <c r="O43" s="246">
        <f>O42*O23</f>
        <v>0</v>
      </c>
      <c r="P43" s="246">
        <f t="shared" ref="P43:R43" si="15">P42*P23</f>
        <v>937140</v>
      </c>
      <c r="Q43" s="246">
        <f t="shared" si="15"/>
        <v>1937140</v>
      </c>
      <c r="R43" s="246">
        <f t="shared" si="15"/>
        <v>3010339</v>
      </c>
      <c r="S43" s="246">
        <f t="shared" ref="S43" si="16">S42*S23</f>
        <v>3010339</v>
      </c>
    </row>
    <row r="44" spans="1:19">
      <c r="A44" s="1" t="s">
        <v>161</v>
      </c>
      <c r="G44" s="163">
        <v>154400</v>
      </c>
      <c r="H44" s="163">
        <v>362160</v>
      </c>
      <c r="I44" s="163">
        <v>107600</v>
      </c>
      <c r="J44" s="163">
        <v>145798</v>
      </c>
    </row>
    <row r="45" spans="1:19">
      <c r="C45" s="23" t="s">
        <v>457</v>
      </c>
      <c r="E45" s="246">
        <f t="shared" ref="E45" si="17">E44*E23</f>
        <v>0</v>
      </c>
      <c r="F45" s="246">
        <f t="shared" ref="F45" si="18">F44*F23</f>
        <v>0</v>
      </c>
      <c r="G45" s="246">
        <f>G44*G23</f>
        <v>193000</v>
      </c>
      <c r="H45" s="246">
        <f t="shared" ref="H45:M45" si="19">H44*H23</f>
        <v>445456.8</v>
      </c>
      <c r="I45" s="246">
        <f t="shared" si="19"/>
        <v>130196</v>
      </c>
      <c r="J45" s="246">
        <f t="shared" si="19"/>
        <v>173499.62</v>
      </c>
      <c r="K45" s="246">
        <f t="shared" si="19"/>
        <v>0</v>
      </c>
      <c r="L45" s="246">
        <f t="shared" si="19"/>
        <v>0</v>
      </c>
      <c r="M45" s="246">
        <f t="shared" si="19"/>
        <v>0</v>
      </c>
      <c r="N45" s="246">
        <f t="shared" ref="N45" si="20">N44*N23</f>
        <v>0</v>
      </c>
      <c r="O45" s="246">
        <f t="shared" ref="O45" si="21">O44*O23</f>
        <v>0</v>
      </c>
      <c r="P45" s="246">
        <f t="shared" ref="P45" si="22">P44*P23</f>
        <v>0</v>
      </c>
      <c r="Q45" s="246">
        <f t="shared" ref="Q45" si="23">Q44*Q23</f>
        <v>0</v>
      </c>
      <c r="R45" s="246">
        <f t="shared" ref="R45:S45" si="24">R44*R23</f>
        <v>0</v>
      </c>
      <c r="S45" s="246">
        <f t="shared" si="24"/>
        <v>0</v>
      </c>
    </row>
    <row r="49" spans="1:16">
      <c r="A49" s="23" t="s">
        <v>464</v>
      </c>
      <c r="E49" s="163">
        <v>100295401</v>
      </c>
    </row>
    <row r="51" spans="1:16">
      <c r="C51" s="23"/>
    </row>
    <row r="52" spans="1:16">
      <c r="A52" t="s">
        <v>416</v>
      </c>
    </row>
    <row r="53" spans="1:16">
      <c r="B53" s="1" t="s">
        <v>466</v>
      </c>
      <c r="E53" s="163">
        <v>5000000</v>
      </c>
    </row>
    <row r="54" spans="1:16">
      <c r="B54" s="1" t="s">
        <v>467</v>
      </c>
      <c r="E54" s="163">
        <v>25000000</v>
      </c>
    </row>
    <row r="55" spans="1:16">
      <c r="B55" s="1" t="s">
        <v>468</v>
      </c>
      <c r="E55" s="163">
        <v>3000000</v>
      </c>
    </row>
    <row r="56" spans="1:16">
      <c r="I56"/>
      <c r="J56"/>
      <c r="K56"/>
      <c r="L56"/>
      <c r="M56"/>
      <c r="N56"/>
      <c r="O56"/>
      <c r="P56"/>
    </row>
    <row r="57" spans="1:16">
      <c r="C57"/>
      <c r="E57">
        <v>2024</v>
      </c>
      <c r="F57">
        <v>2025</v>
      </c>
      <c r="G57">
        <v>2026</v>
      </c>
      <c r="H57">
        <v>2027</v>
      </c>
      <c r="I57">
        <v>2028</v>
      </c>
      <c r="J57">
        <v>2029</v>
      </c>
      <c r="K57" t="s">
        <v>35</v>
      </c>
    </row>
    <row r="58" spans="1:16">
      <c r="C58" t="s">
        <v>25</v>
      </c>
      <c r="D58"/>
      <c r="E58" s="177">
        <f>SUM(E45:N45)</f>
        <v>942152.42</v>
      </c>
      <c r="F58" s="177">
        <f>O45</f>
        <v>0</v>
      </c>
      <c r="G58" s="177">
        <f t="shared" ref="G58:J58" si="25">P45</f>
        <v>0</v>
      </c>
      <c r="H58" s="177">
        <f t="shared" si="25"/>
        <v>0</v>
      </c>
      <c r="I58" s="177">
        <f t="shared" si="25"/>
        <v>0</v>
      </c>
      <c r="J58" s="177">
        <f t="shared" si="25"/>
        <v>0</v>
      </c>
      <c r="K58" s="130">
        <f>SUM(E58:J58)</f>
        <v>942152.42</v>
      </c>
    </row>
    <row r="59" spans="1:16">
      <c r="C59" t="s">
        <v>163</v>
      </c>
      <c r="D59"/>
      <c r="E59" s="177">
        <f>SUM(E36:N36)</f>
        <v>7858656.6960000005</v>
      </c>
      <c r="F59" s="177">
        <f>O36</f>
        <v>0</v>
      </c>
      <c r="G59" s="177">
        <f t="shared" ref="G59:J59" si="26">P36</f>
        <v>1000000</v>
      </c>
      <c r="H59" s="177">
        <f t="shared" si="26"/>
        <v>18000000</v>
      </c>
      <c r="I59" s="177">
        <f t="shared" si="26"/>
        <v>14000000</v>
      </c>
      <c r="J59" s="177">
        <f t="shared" si="26"/>
        <v>0</v>
      </c>
      <c r="K59" s="130">
        <f t="shared" ref="K59:K62" si="27">SUM(E59:J59)</f>
        <v>40858656.696000002</v>
      </c>
    </row>
    <row r="60" spans="1:16">
      <c r="C60" t="s">
        <v>379</v>
      </c>
      <c r="D60"/>
      <c r="E60" s="177">
        <f>SUM(E41:N41)</f>
        <v>1737641.5999999999</v>
      </c>
      <c r="F60" s="177">
        <f>O41</f>
        <v>587760</v>
      </c>
      <c r="G60" s="177">
        <f t="shared" ref="G60:J60" si="28">P41</f>
        <v>2769274</v>
      </c>
      <c r="H60" s="177">
        <f t="shared" si="28"/>
        <v>0</v>
      </c>
      <c r="I60" s="177">
        <f t="shared" si="28"/>
        <v>0</v>
      </c>
      <c r="J60" s="177">
        <f t="shared" si="28"/>
        <v>0</v>
      </c>
      <c r="K60" s="130">
        <f t="shared" si="27"/>
        <v>5094675.5999999996</v>
      </c>
    </row>
    <row r="61" spans="1:16">
      <c r="C61" t="s">
        <v>378</v>
      </c>
      <c r="D61"/>
      <c r="E61" s="177">
        <f>SUM(E43:N43)</f>
        <v>0</v>
      </c>
      <c r="F61" s="177">
        <f>O43</f>
        <v>0</v>
      </c>
      <c r="G61" s="177">
        <f t="shared" ref="G61:J61" si="29">P43</f>
        <v>937140</v>
      </c>
      <c r="H61" s="177">
        <f t="shared" si="29"/>
        <v>1937140</v>
      </c>
      <c r="I61" s="177">
        <f t="shared" si="29"/>
        <v>3010339</v>
      </c>
      <c r="J61" s="177">
        <f t="shared" si="29"/>
        <v>3010339</v>
      </c>
      <c r="K61" s="130">
        <f t="shared" si="27"/>
        <v>8894958</v>
      </c>
    </row>
    <row r="62" spans="1:16">
      <c r="C62" t="s">
        <v>22</v>
      </c>
      <c r="D62"/>
      <c r="E62" s="177">
        <f>SUM(E27:N27)</f>
        <v>0</v>
      </c>
      <c r="F62" s="177">
        <f>O27</f>
        <v>0</v>
      </c>
      <c r="G62" s="177">
        <f t="shared" ref="G62:J62" si="30">P27</f>
        <v>0</v>
      </c>
      <c r="H62" s="177">
        <f t="shared" si="30"/>
        <v>5000000</v>
      </c>
      <c r="I62" s="177">
        <f t="shared" si="30"/>
        <v>47647700.5</v>
      </c>
      <c r="J62" s="177">
        <f t="shared" si="30"/>
        <v>47647700.5</v>
      </c>
      <c r="K62" s="130">
        <f t="shared" si="27"/>
        <v>100295401</v>
      </c>
    </row>
    <row r="63" spans="1:16">
      <c r="C63" t="s">
        <v>35</v>
      </c>
      <c r="D63"/>
      <c r="E63" s="177">
        <f>SUM(E58:E62)</f>
        <v>10538450.716</v>
      </c>
      <c r="F63" s="177">
        <f t="shared" ref="F63:K63" si="31">SUM(F58:F62)</f>
        <v>587760</v>
      </c>
      <c r="G63" s="177">
        <f t="shared" si="31"/>
        <v>4706414</v>
      </c>
      <c r="H63" s="177">
        <f t="shared" si="31"/>
        <v>24937140</v>
      </c>
      <c r="I63" s="177">
        <f t="shared" si="31"/>
        <v>64658039.5</v>
      </c>
      <c r="J63" s="177">
        <f t="shared" si="31"/>
        <v>50658039.5</v>
      </c>
      <c r="K63" s="177">
        <f t="shared" si="31"/>
        <v>156085843.71600002</v>
      </c>
    </row>
  </sheetData>
  <mergeCells count="11">
    <mergeCell ref="J25:K25"/>
    <mergeCell ref="L13:M13"/>
    <mergeCell ref="P13:R13"/>
    <mergeCell ref="O14:P14"/>
    <mergeCell ref="P15:S15"/>
    <mergeCell ref="Q12:S12"/>
    <mergeCell ref="B12:C16"/>
    <mergeCell ref="G12:H12"/>
    <mergeCell ref="G16:J16"/>
    <mergeCell ref="G14:I14"/>
    <mergeCell ref="E13:F13"/>
  </mergeCells>
  <pageMargins left="0.25" right="0.25" top="0.75" bottom="0.75" header="0.3" footer="0.3"/>
  <pageSetup scale="85" orientation="landscape" r:id="rId1"/>
  <colBreaks count="1" manualBreakCount="1">
    <brk id="14" max="3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6"/>
  </sheetPr>
  <dimension ref="A1:AS69"/>
  <sheetViews>
    <sheetView topLeftCell="D40" zoomScaleNormal="100" workbookViewId="0">
      <selection activeCell="M55" sqref="M55"/>
    </sheetView>
  </sheetViews>
  <sheetFormatPr baseColWidth="10" defaultColWidth="9.19921875" defaultRowHeight="13"/>
  <cols>
    <col min="1" max="3" width="3.3984375" style="1" customWidth="1"/>
    <col min="4" max="4" width="65" style="1" customWidth="1"/>
    <col min="5" max="5" width="13.19921875" style="22" bestFit="1" customWidth="1"/>
    <col min="6" max="6" width="11.3984375" style="22" customWidth="1"/>
    <col min="7" max="7" width="13.796875" style="22" customWidth="1"/>
    <col min="8" max="8" width="12.796875" style="22" customWidth="1"/>
    <col min="9" max="30" width="11.3984375" style="22" customWidth="1"/>
    <col min="31" max="32" width="11.3984375" style="1" customWidth="1"/>
    <col min="33" max="45" width="11.3984375" style="1" bestFit="1" customWidth="1"/>
    <col min="46" max="16384" width="9.19921875" style="1"/>
  </cols>
  <sheetData>
    <row r="1" spans="1:45" ht="20" thickBot="1">
      <c r="A1" s="19" t="s">
        <v>88</v>
      </c>
      <c r="B1" s="19"/>
      <c r="C1" s="19"/>
      <c r="D1" s="19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</row>
    <row r="2" spans="1:45" ht="19" thickTop="1" thickBot="1">
      <c r="A2" s="2" t="str">
        <f>'BCA Summary'!A2</f>
        <v>US 85/120th Avenue Grade-Separation and Interchange Project</v>
      </c>
      <c r="B2" s="2"/>
      <c r="C2" s="17"/>
      <c r="D2" s="17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</row>
    <row r="3" spans="1:45" ht="14" thickTop="1">
      <c r="A3" s="23"/>
      <c r="B3" s="23"/>
      <c r="C3" s="23"/>
      <c r="D3" s="23"/>
    </row>
    <row r="4" spans="1:45" s="18" customFormat="1" ht="17">
      <c r="A4" s="24"/>
      <c r="B4" s="24"/>
      <c r="C4" s="24"/>
      <c r="D4" s="24"/>
      <c r="E4" s="150">
        <f>'Summary of Benefits'!E4</f>
        <v>2015</v>
      </c>
      <c r="F4" s="150">
        <f>'Summary of Benefits'!F4</f>
        <v>2016</v>
      </c>
      <c r="G4" s="150">
        <f>'Summary of Benefits'!G4</f>
        <v>2017</v>
      </c>
      <c r="H4" s="150">
        <f>'Summary of Benefits'!H4</f>
        <v>2018</v>
      </c>
      <c r="I4" s="150">
        <f>'Summary of Benefits'!I4</f>
        <v>2019</v>
      </c>
      <c r="J4" s="150">
        <f>'Summary of Benefits'!J4</f>
        <v>2020</v>
      </c>
      <c r="K4" s="150">
        <f>'Summary of Benefits'!K4</f>
        <v>2021</v>
      </c>
      <c r="L4" s="150">
        <f>'Summary of Benefits'!L4</f>
        <v>2022</v>
      </c>
      <c r="M4" s="150">
        <f>'Summary of Benefits'!M4</f>
        <v>2023</v>
      </c>
      <c r="N4" s="150">
        <f>'Summary of Benefits'!N4</f>
        <v>2024</v>
      </c>
      <c r="O4" s="150">
        <f>'Summary of Benefits'!O4</f>
        <v>2025</v>
      </c>
      <c r="P4" s="150">
        <f>'Summary of Benefits'!P4</f>
        <v>2026</v>
      </c>
      <c r="Q4" s="150">
        <f>'Summary of Benefits'!Q4</f>
        <v>2027</v>
      </c>
      <c r="R4" s="150">
        <f>'Summary of Benefits'!R4</f>
        <v>2028</v>
      </c>
      <c r="S4" s="150">
        <f>'Summary of Benefits'!S4</f>
        <v>2029</v>
      </c>
      <c r="T4" s="150">
        <f>'Summary of Benefits'!T4</f>
        <v>2030</v>
      </c>
      <c r="U4" s="150">
        <f>'Summary of Benefits'!U4</f>
        <v>2031</v>
      </c>
      <c r="V4" s="150">
        <f>'Summary of Benefits'!V4</f>
        <v>2032</v>
      </c>
      <c r="W4" s="150">
        <f>'Summary of Benefits'!W4</f>
        <v>2033</v>
      </c>
      <c r="X4" s="150">
        <f>'Summary of Benefits'!X4</f>
        <v>2034</v>
      </c>
      <c r="Y4" s="150">
        <f>'Summary of Benefits'!Y4</f>
        <v>2035</v>
      </c>
      <c r="Z4" s="150">
        <f>'Summary of Benefits'!Z4</f>
        <v>2036</v>
      </c>
      <c r="AA4" s="150">
        <f>'Summary of Benefits'!AA4</f>
        <v>2037</v>
      </c>
      <c r="AB4" s="150">
        <f>'Summary of Benefits'!AB4</f>
        <v>2038</v>
      </c>
      <c r="AC4" s="150">
        <f>'Summary of Benefits'!AC4</f>
        <v>2039</v>
      </c>
      <c r="AD4" s="150">
        <f>'Summary of Benefits'!AD4</f>
        <v>2040</v>
      </c>
      <c r="AE4" s="150">
        <f>'Summary of Benefits'!AE4</f>
        <v>2041</v>
      </c>
      <c r="AF4" s="150">
        <f>'Summary of Benefits'!AF4</f>
        <v>2042</v>
      </c>
      <c r="AG4" s="150">
        <f>'Summary of Benefits'!AG4</f>
        <v>2043</v>
      </c>
      <c r="AH4" s="150">
        <f>'Summary of Benefits'!AH4</f>
        <v>2044</v>
      </c>
      <c r="AI4" s="150">
        <f>'Summary of Benefits'!AI4</f>
        <v>2045</v>
      </c>
      <c r="AJ4" s="150">
        <f>'Summary of Benefits'!AJ4</f>
        <v>2046</v>
      </c>
      <c r="AK4" s="150">
        <f>'Summary of Benefits'!AK4</f>
        <v>2047</v>
      </c>
      <c r="AL4" s="150">
        <f>'Summary of Benefits'!AL4</f>
        <v>2048</v>
      </c>
      <c r="AM4" s="150">
        <f>'Summary of Benefits'!AM4</f>
        <v>2049</v>
      </c>
      <c r="AN4" s="150">
        <f>'Summary of Benefits'!AN4</f>
        <v>2050</v>
      </c>
      <c r="AO4" s="150">
        <f>'Summary of Benefits'!AO4</f>
        <v>2051</v>
      </c>
      <c r="AP4" s="150">
        <f>'Summary of Benefits'!AP4</f>
        <v>2052</v>
      </c>
      <c r="AQ4" s="150">
        <f>'Summary of Benefits'!AQ4</f>
        <v>2053</v>
      </c>
      <c r="AR4" s="150">
        <f>'Summary of Benefits'!AR4</f>
        <v>2054</v>
      </c>
      <c r="AS4" s="150">
        <f>'Summary of Benefits'!AS4</f>
        <v>2055</v>
      </c>
    </row>
    <row r="5" spans="1:45" ht="16" thickBot="1">
      <c r="A5" s="32" t="str">
        <f>'Timeline &amp; Costs'!A11</f>
        <v>US 85/120th Avenue Grade-Separation and Interchange Project</v>
      </c>
      <c r="B5" s="32"/>
      <c r="C5" s="32"/>
      <c r="D5" s="32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</row>
    <row r="6" spans="1:45">
      <c r="B6" s="153" t="str">
        <f>"Baseline (No "&amp;'BCA Summary'!E1&amp;") Benefits"</f>
        <v>Baseline (No BUILD Grant) Benefits</v>
      </c>
      <c r="D6" s="34"/>
      <c r="E6" s="35" t="str">
        <f>'Timeline &amp; Costs'!E$8</f>
        <v>No</v>
      </c>
      <c r="F6" s="35" t="str">
        <f>'Timeline &amp; Costs'!F$8</f>
        <v>No</v>
      </c>
      <c r="G6" s="35" t="str">
        <f>'Timeline &amp; Costs'!G$8</f>
        <v>No</v>
      </c>
      <c r="H6" s="35" t="str">
        <f>'Timeline &amp; Costs'!H$8</f>
        <v>No</v>
      </c>
      <c r="I6" s="35" t="str">
        <f>'Timeline &amp; Costs'!I$8</f>
        <v>No</v>
      </c>
      <c r="J6" s="35" t="str">
        <f>'Timeline &amp; Costs'!J$8</f>
        <v>No</v>
      </c>
      <c r="K6" s="35" t="str">
        <f>'Timeline &amp; Costs'!K$8</f>
        <v>No</v>
      </c>
      <c r="L6" s="35" t="str">
        <f>'Timeline &amp; Costs'!L$8</f>
        <v>No</v>
      </c>
      <c r="M6" s="35" t="str">
        <f>'Timeline &amp; Costs'!M$8</f>
        <v>No</v>
      </c>
      <c r="N6" s="35" t="str">
        <f>'Timeline &amp; Costs'!N$8</f>
        <v>No</v>
      </c>
      <c r="O6" s="35" t="str">
        <f>'Timeline &amp; Costs'!O$8</f>
        <v>No</v>
      </c>
      <c r="P6" s="35" t="str">
        <f>'Timeline &amp; Costs'!P$8</f>
        <v>No</v>
      </c>
      <c r="Q6" s="35" t="str">
        <f>'Timeline &amp; Costs'!Q$8</f>
        <v>No</v>
      </c>
      <c r="R6" s="35" t="str">
        <f>'Timeline &amp; Costs'!R$8</f>
        <v>No</v>
      </c>
      <c r="S6" s="35" t="str">
        <f>'Timeline &amp; Costs'!S$8</f>
        <v>No</v>
      </c>
      <c r="T6" s="35" t="str">
        <f>'Timeline &amp; Costs'!T$8</f>
        <v>No</v>
      </c>
      <c r="U6" s="35" t="str">
        <f>'Timeline &amp; Costs'!U$8</f>
        <v>No</v>
      </c>
      <c r="V6" s="35" t="str">
        <f>'Timeline &amp; Costs'!V$8</f>
        <v>No</v>
      </c>
      <c r="W6" s="35" t="str">
        <f>'Timeline &amp; Costs'!W$8</f>
        <v>No</v>
      </c>
      <c r="X6" s="35" t="str">
        <f>'Timeline &amp; Costs'!X$8</f>
        <v>No</v>
      </c>
      <c r="Y6" s="35" t="str">
        <f>'Timeline &amp; Costs'!Y$8</f>
        <v>No</v>
      </c>
      <c r="Z6" s="35" t="str">
        <f>'Timeline &amp; Costs'!Z$8</f>
        <v>No</v>
      </c>
      <c r="AA6" s="35" t="str">
        <f>'Timeline &amp; Costs'!AA$8</f>
        <v>No</v>
      </c>
      <c r="AB6" s="35" t="str">
        <f>'Timeline &amp; Costs'!AB$8</f>
        <v>No</v>
      </c>
      <c r="AC6" s="35" t="str">
        <f>'Timeline &amp; Costs'!AC$8</f>
        <v>No</v>
      </c>
      <c r="AD6" s="35" t="str">
        <f>'Timeline &amp; Costs'!AD$8</f>
        <v>No</v>
      </c>
      <c r="AE6" s="35" t="str">
        <f>'Timeline &amp; Costs'!AE$8</f>
        <v>No</v>
      </c>
      <c r="AF6" s="35" t="str">
        <f>'Timeline &amp; Costs'!AF$8</f>
        <v>No</v>
      </c>
      <c r="AG6" s="35" t="str">
        <f>'Timeline &amp; Costs'!AG$8</f>
        <v>No</v>
      </c>
      <c r="AH6" s="35" t="str">
        <f>'Timeline &amp; Costs'!AH$8</f>
        <v>No</v>
      </c>
      <c r="AI6" s="35" t="str">
        <f>'Timeline &amp; Costs'!AI$8</f>
        <v>No</v>
      </c>
      <c r="AJ6" s="35" t="str">
        <f>'Timeline &amp; Costs'!AJ$8</f>
        <v>No</v>
      </c>
      <c r="AK6" s="35" t="str">
        <f>'Timeline &amp; Costs'!AK$8</f>
        <v>No</v>
      </c>
      <c r="AL6" s="35" t="str">
        <f>'Timeline &amp; Costs'!AL$8</f>
        <v>No</v>
      </c>
      <c r="AM6" s="35" t="str">
        <f>'Timeline &amp; Costs'!AM$8</f>
        <v>No</v>
      </c>
      <c r="AN6" s="35" t="str">
        <f>'Timeline &amp; Costs'!AN$8</f>
        <v>No</v>
      </c>
      <c r="AO6" s="35" t="str">
        <f>'Timeline &amp; Costs'!AO$8</f>
        <v>No</v>
      </c>
      <c r="AP6" s="35" t="str">
        <f>'Timeline &amp; Costs'!AP$8</f>
        <v>No</v>
      </c>
      <c r="AQ6" s="35" t="str">
        <f>'Timeline &amp; Costs'!AQ$8</f>
        <v>No</v>
      </c>
      <c r="AR6" s="35" t="str">
        <f>'Timeline &amp; Costs'!AR$8</f>
        <v>No</v>
      </c>
      <c r="AS6" s="35" t="str">
        <f>'Timeline &amp; Costs'!AS$8</f>
        <v>No</v>
      </c>
    </row>
    <row r="7" spans="1:45">
      <c r="B7" s="231" t="str">
        <f>"Preferred (With "&amp;'BCA Summary'!E1&amp;") Benefits"</f>
        <v>Preferred (With BUILD Grant) Benefits</v>
      </c>
      <c r="D7" s="34"/>
      <c r="E7" s="35">
        <f>'Timeline &amp; Costs'!E17</f>
        <v>0</v>
      </c>
      <c r="F7" s="35">
        <f>'Timeline &amp; Costs'!F17</f>
        <v>0</v>
      </c>
      <c r="G7" s="35">
        <f>'Timeline &amp; Costs'!G17</f>
        <v>0</v>
      </c>
      <c r="H7" s="35" t="str">
        <f>'Timeline &amp; Costs'!H17</f>
        <v>No</v>
      </c>
      <c r="I7" s="35" t="str">
        <f>'Timeline &amp; Costs'!I17</f>
        <v>No</v>
      </c>
      <c r="J7" s="35" t="str">
        <f>'Timeline &amp; Costs'!J17</f>
        <v>No</v>
      </c>
      <c r="K7" s="35" t="str">
        <f>'Timeline &amp; Costs'!K17</f>
        <v>No</v>
      </c>
      <c r="L7" s="35" t="str">
        <f>'Timeline &amp; Costs'!L17</f>
        <v>No</v>
      </c>
      <c r="M7" s="35" t="str">
        <f>'Timeline &amp; Costs'!M17</f>
        <v>No</v>
      </c>
      <c r="N7" s="35" t="str">
        <f>'Timeline &amp; Costs'!N17</f>
        <v>No</v>
      </c>
      <c r="O7" s="35" t="str">
        <f>'Timeline &amp; Costs'!O17</f>
        <v>No</v>
      </c>
      <c r="P7" s="35" t="str">
        <f>'Timeline &amp; Costs'!P17</f>
        <v>No</v>
      </c>
      <c r="Q7" s="35" t="str">
        <f>'Timeline &amp; Costs'!Q17</f>
        <v>No</v>
      </c>
      <c r="R7" s="35" t="str">
        <f>'Timeline &amp; Costs'!R17</f>
        <v>No</v>
      </c>
      <c r="S7" s="35" t="str">
        <f>'Timeline &amp; Costs'!S17</f>
        <v>No</v>
      </c>
      <c r="T7" s="35" t="str">
        <f>'Timeline &amp; Costs'!T17</f>
        <v>Yes</v>
      </c>
      <c r="U7" s="35" t="str">
        <f>'Timeline &amp; Costs'!U17</f>
        <v>Yes</v>
      </c>
      <c r="V7" s="35" t="str">
        <f>'Timeline &amp; Costs'!V17</f>
        <v>Yes</v>
      </c>
      <c r="W7" s="35" t="str">
        <f>'Timeline &amp; Costs'!W17</f>
        <v>Yes</v>
      </c>
      <c r="X7" s="35" t="str">
        <f>'Timeline &amp; Costs'!X17</f>
        <v>Yes</v>
      </c>
      <c r="Y7" s="35" t="str">
        <f>'Timeline &amp; Costs'!Y17</f>
        <v>Yes</v>
      </c>
      <c r="Z7" s="35" t="str">
        <f>'Timeline &amp; Costs'!Z17</f>
        <v>Yes</v>
      </c>
      <c r="AA7" s="35" t="str">
        <f>'Timeline &amp; Costs'!AA17</f>
        <v>Yes</v>
      </c>
      <c r="AB7" s="35" t="str">
        <f>'Timeline &amp; Costs'!AB17</f>
        <v>Yes</v>
      </c>
      <c r="AC7" s="35" t="str">
        <f>'Timeline &amp; Costs'!AC17</f>
        <v>Yes</v>
      </c>
      <c r="AD7" s="35" t="str">
        <f>'Timeline &amp; Costs'!AD17</f>
        <v>Yes</v>
      </c>
      <c r="AE7" s="35" t="str">
        <f>'Timeline &amp; Costs'!AE17</f>
        <v>Yes</v>
      </c>
      <c r="AF7" s="35" t="str">
        <f>'Timeline &amp; Costs'!AF17</f>
        <v>Yes</v>
      </c>
      <c r="AG7" s="35" t="str">
        <f>'Timeline &amp; Costs'!AG17</f>
        <v>Yes</v>
      </c>
      <c r="AH7" s="35" t="str">
        <f>'Timeline &amp; Costs'!AH17</f>
        <v>Yes</v>
      </c>
      <c r="AI7" s="35" t="str">
        <f>'Timeline &amp; Costs'!AI17</f>
        <v>Yes</v>
      </c>
      <c r="AJ7" s="35" t="str">
        <f>'Timeline &amp; Costs'!AJ17</f>
        <v>Yes</v>
      </c>
      <c r="AK7" s="35" t="str">
        <f>'Timeline &amp; Costs'!AK17</f>
        <v>Yes</v>
      </c>
      <c r="AL7" s="35" t="str">
        <f>'Timeline &amp; Costs'!AL17</f>
        <v>Yes</v>
      </c>
      <c r="AM7" s="35" t="str">
        <f>'Timeline &amp; Costs'!AM17</f>
        <v>Yes</v>
      </c>
      <c r="AN7" s="35" t="str">
        <f>'Timeline &amp; Costs'!AN17</f>
        <v>Yes</v>
      </c>
      <c r="AO7" s="35" t="str">
        <f>'Timeline &amp; Costs'!AO17</f>
        <v>Yes</v>
      </c>
      <c r="AP7" s="35" t="str">
        <f>'Timeline &amp; Costs'!AP17</f>
        <v>Yes</v>
      </c>
      <c r="AQ7" s="35" t="str">
        <f>'Timeline &amp; Costs'!AQ17</f>
        <v>Yes</v>
      </c>
      <c r="AR7" s="35" t="str">
        <f>'Timeline &amp; Costs'!AR17</f>
        <v>Yes</v>
      </c>
      <c r="AS7" s="35" t="str">
        <f>'Timeline &amp; Costs'!AS17</f>
        <v>Yes</v>
      </c>
    </row>
    <row r="8" spans="1:45">
      <c r="C8" s="36"/>
      <c r="D8" s="34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</row>
    <row r="9" spans="1:45">
      <c r="A9" s="23" t="s">
        <v>279</v>
      </c>
      <c r="B9" s="23"/>
      <c r="D9" s="34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S9" s="35"/>
    </row>
    <row r="10" spans="1:45">
      <c r="A10" s="23"/>
      <c r="B10" s="89" t="str">
        <f>"BASELINE (No "&amp;'BCA Summary'!$E$1&amp;") total annual entering volume"</f>
        <v>BASELINE (No BUILD Grant) total annual entering volume</v>
      </c>
      <c r="E10" s="48">
        <f>$G10+(($AD10-$G10)/($AD$4-$G$4))*(E$4-$G$4)</f>
        <v>18793500</v>
      </c>
      <c r="F10" s="48">
        <f>$G10+(($AD10-$G10)/($AD$4-$G$4))*(F$4-$G$4)</f>
        <v>19108500</v>
      </c>
      <c r="G10" s="155">
        <f>(N55+O55)*$E$52</f>
        <v>19423500</v>
      </c>
      <c r="H10" s="48">
        <f>$G10+(($AD10-$G10)/($AD$4-$G$4))*(H$4-$G$4)</f>
        <v>19738500</v>
      </c>
      <c r="I10" s="48">
        <f t="shared" ref="I10:AC10" si="0">$G10+(($AD10-$G10)/($AD$4-$E$4))*(I$4-$E$4)</f>
        <v>20582700</v>
      </c>
      <c r="J10" s="48">
        <f t="shared" si="0"/>
        <v>20872500</v>
      </c>
      <c r="K10" s="48">
        <f t="shared" si="0"/>
        <v>21162300</v>
      </c>
      <c r="L10" s="48">
        <f t="shared" si="0"/>
        <v>21452100</v>
      </c>
      <c r="M10" s="48">
        <f t="shared" si="0"/>
        <v>21741900</v>
      </c>
      <c r="N10" s="48">
        <f t="shared" si="0"/>
        <v>22031700</v>
      </c>
      <c r="O10" s="48">
        <f t="shared" si="0"/>
        <v>22321500</v>
      </c>
      <c r="P10" s="48">
        <f t="shared" si="0"/>
        <v>22611300</v>
      </c>
      <c r="Q10" s="48">
        <f t="shared" si="0"/>
        <v>22901100</v>
      </c>
      <c r="R10" s="48">
        <f t="shared" si="0"/>
        <v>23190900</v>
      </c>
      <c r="S10" s="48">
        <f t="shared" si="0"/>
        <v>23480700</v>
      </c>
      <c r="T10" s="48">
        <f t="shared" si="0"/>
        <v>23770500</v>
      </c>
      <c r="U10" s="48">
        <f t="shared" si="0"/>
        <v>24060300</v>
      </c>
      <c r="V10" s="48">
        <f t="shared" si="0"/>
        <v>24350100</v>
      </c>
      <c r="W10" s="48">
        <f t="shared" si="0"/>
        <v>24639900</v>
      </c>
      <c r="X10" s="48">
        <f t="shared" si="0"/>
        <v>24929700</v>
      </c>
      <c r="Y10" s="48">
        <f t="shared" si="0"/>
        <v>25219500</v>
      </c>
      <c r="Z10" s="48">
        <f t="shared" si="0"/>
        <v>25509300</v>
      </c>
      <c r="AA10" s="48">
        <f t="shared" si="0"/>
        <v>25799100</v>
      </c>
      <c r="AB10" s="48">
        <f t="shared" si="0"/>
        <v>26088900</v>
      </c>
      <c r="AC10" s="48">
        <f t="shared" si="0"/>
        <v>26378700</v>
      </c>
      <c r="AD10" s="155">
        <f>(G68+H68)*E52</f>
        <v>26668500</v>
      </c>
      <c r="AE10" s="48">
        <f t="shared" ref="AE10:AS11" si="1">$G10+(($AD10-$G10)/($AD$4-$E$4))*(AE$4-$E$4)</f>
        <v>26958300</v>
      </c>
      <c r="AF10" s="48">
        <f t="shared" si="1"/>
        <v>27248100</v>
      </c>
      <c r="AG10" s="48">
        <f t="shared" si="1"/>
        <v>27537900</v>
      </c>
      <c r="AH10" s="48">
        <f t="shared" si="1"/>
        <v>27827700</v>
      </c>
      <c r="AI10" s="48">
        <f t="shared" si="1"/>
        <v>28117500</v>
      </c>
      <c r="AJ10" s="48">
        <f t="shared" si="1"/>
        <v>28407300</v>
      </c>
      <c r="AK10" s="48">
        <f t="shared" si="1"/>
        <v>28697100</v>
      </c>
      <c r="AL10" s="48">
        <f t="shared" si="1"/>
        <v>28986900</v>
      </c>
      <c r="AM10" s="48">
        <f t="shared" si="1"/>
        <v>29276700</v>
      </c>
      <c r="AN10" s="48">
        <f t="shared" si="1"/>
        <v>29566500</v>
      </c>
      <c r="AO10" s="48">
        <f t="shared" si="1"/>
        <v>29856300</v>
      </c>
      <c r="AP10" s="48">
        <f t="shared" si="1"/>
        <v>30146100</v>
      </c>
      <c r="AQ10" s="48">
        <f t="shared" si="1"/>
        <v>30435900</v>
      </c>
      <c r="AR10" s="48">
        <f t="shared" si="1"/>
        <v>30725700</v>
      </c>
      <c r="AS10" s="48">
        <f t="shared" si="1"/>
        <v>31015500</v>
      </c>
    </row>
    <row r="11" spans="1:45">
      <c r="A11" s="23"/>
      <c r="B11" s="26" t="str">
        <f>"PREFERRED (With "&amp;'BCA Summary'!$E$1&amp;") total annual entering volume"</f>
        <v>PREFERRED (With BUILD Grant) total annual entering volume</v>
      </c>
      <c r="E11" s="48">
        <f>$G11+(($AD11-$G11)/($AD$4-$G$4))*(E$4-$G$4)</f>
        <v>6349500</v>
      </c>
      <c r="F11" s="48">
        <f>$G11+(($AD11-$G11)/($AD$4-$G$4))*(F$4-$G$4)</f>
        <v>6607500</v>
      </c>
      <c r="G11" s="91">
        <f>(I68+J68)*E52</f>
        <v>6865500</v>
      </c>
      <c r="H11" s="48">
        <f>$G11+(($AD11-$G11)/($AD$4-$G$4))*(H$4-$G$4)</f>
        <v>7123500</v>
      </c>
      <c r="I11" s="48">
        <f t="shared" ref="I11:AC11" si="2">$G11+(($AD11-$G11)/($AD$4-$G$4))*(I$4-$G$4)</f>
        <v>7381500</v>
      </c>
      <c r="J11" s="48">
        <f t="shared" si="2"/>
        <v>7639500</v>
      </c>
      <c r="K11" s="48">
        <f t="shared" si="2"/>
        <v>7897500</v>
      </c>
      <c r="L11" s="48">
        <f t="shared" si="2"/>
        <v>8155500</v>
      </c>
      <c r="M11" s="48">
        <f t="shared" si="2"/>
        <v>8413500</v>
      </c>
      <c r="N11" s="48">
        <f t="shared" si="2"/>
        <v>8671500</v>
      </c>
      <c r="O11" s="48">
        <f t="shared" si="2"/>
        <v>8929500</v>
      </c>
      <c r="P11" s="48">
        <f t="shared" si="2"/>
        <v>9187500</v>
      </c>
      <c r="Q11" s="48">
        <f t="shared" si="2"/>
        <v>9445500</v>
      </c>
      <c r="R11" s="48">
        <f t="shared" si="2"/>
        <v>9703500</v>
      </c>
      <c r="S11" s="48">
        <f t="shared" si="2"/>
        <v>9961500</v>
      </c>
      <c r="T11" s="48">
        <f t="shared" si="2"/>
        <v>10219500</v>
      </c>
      <c r="U11" s="48">
        <f t="shared" si="2"/>
        <v>10477500</v>
      </c>
      <c r="V11" s="48">
        <f t="shared" si="2"/>
        <v>10735500</v>
      </c>
      <c r="W11" s="48">
        <f t="shared" si="2"/>
        <v>10993500</v>
      </c>
      <c r="X11" s="48">
        <f t="shared" si="2"/>
        <v>11251500</v>
      </c>
      <c r="Y11" s="48">
        <f t="shared" si="2"/>
        <v>11509500</v>
      </c>
      <c r="Z11" s="48">
        <f t="shared" si="2"/>
        <v>11767500</v>
      </c>
      <c r="AA11" s="48">
        <f t="shared" si="2"/>
        <v>12025500</v>
      </c>
      <c r="AB11" s="48">
        <f t="shared" si="2"/>
        <v>12283500</v>
      </c>
      <c r="AC11" s="48">
        <f t="shared" si="2"/>
        <v>12541500</v>
      </c>
      <c r="AD11" s="91">
        <f>(K68+L68)*E52</f>
        <v>12799500</v>
      </c>
      <c r="AE11" s="48">
        <f t="shared" si="1"/>
        <v>13036860</v>
      </c>
      <c r="AF11" s="48">
        <f t="shared" si="1"/>
        <v>13274220</v>
      </c>
      <c r="AG11" s="48">
        <f t="shared" si="1"/>
        <v>13511580</v>
      </c>
      <c r="AH11" s="48">
        <f t="shared" si="1"/>
        <v>13748940</v>
      </c>
      <c r="AI11" s="48">
        <f t="shared" si="1"/>
        <v>13986300</v>
      </c>
      <c r="AJ11" s="48">
        <f t="shared" si="1"/>
        <v>14223660</v>
      </c>
      <c r="AK11" s="48">
        <f t="shared" si="1"/>
        <v>14461020</v>
      </c>
      <c r="AL11" s="48">
        <f t="shared" si="1"/>
        <v>14698380</v>
      </c>
      <c r="AM11" s="48">
        <f t="shared" si="1"/>
        <v>14935740</v>
      </c>
      <c r="AN11" s="48">
        <f t="shared" si="1"/>
        <v>15173100</v>
      </c>
      <c r="AO11" s="48">
        <f t="shared" si="1"/>
        <v>15410460</v>
      </c>
      <c r="AP11" s="48">
        <f t="shared" si="1"/>
        <v>15647820</v>
      </c>
      <c r="AQ11" s="48">
        <f t="shared" si="1"/>
        <v>15885180</v>
      </c>
      <c r="AR11" s="48">
        <f t="shared" si="1"/>
        <v>16122540</v>
      </c>
      <c r="AS11" s="48">
        <f t="shared" si="1"/>
        <v>16359900</v>
      </c>
    </row>
    <row r="12" spans="1:45">
      <c r="D12"/>
    </row>
    <row r="13" spans="1:45">
      <c r="A13" s="23" t="s">
        <v>274</v>
      </c>
      <c r="B13" s="23"/>
      <c r="D13" s="34"/>
      <c r="E13" s="35"/>
      <c r="F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</row>
    <row r="14" spans="1:45">
      <c r="A14" s="23"/>
      <c r="B14" s="89" t="str">
        <f>"BASELINE (No "&amp;'BCA Summary'!$E$1&amp;") total annual entering volume"</f>
        <v>BASELINE (No BUILD Grant) total annual entering volume</v>
      </c>
      <c r="E14" s="48">
        <f>$G14+(($AD14-$G14)/($AD$4-$G$4))*(E$4-$G$4)</f>
        <v>13450500</v>
      </c>
      <c r="F14" s="48">
        <f>$G14+(($AD14-$G14)/($AD$4-$G$4))*(F$4-$G$4)</f>
        <v>13849500</v>
      </c>
      <c r="G14" s="155">
        <f>(N56+O56)*E52</f>
        <v>14248500</v>
      </c>
      <c r="H14" s="48">
        <f>$G14+(($AD14-$G14)/($AD$4-$G$4))*(H$4-$G$4)</f>
        <v>14647500</v>
      </c>
      <c r="I14" s="48">
        <f t="shared" ref="I14:X15" si="3">$G14+(($AD14-$G14)/($AD$4-$E$4))*(I$4-$E$4)</f>
        <v>15716820</v>
      </c>
      <c r="J14" s="48">
        <f t="shared" si="3"/>
        <v>16083900</v>
      </c>
      <c r="K14" s="48">
        <f t="shared" si="3"/>
        <v>16450980</v>
      </c>
      <c r="L14" s="48">
        <f t="shared" si="3"/>
        <v>16818060</v>
      </c>
      <c r="M14" s="48">
        <f t="shared" si="3"/>
        <v>17185140</v>
      </c>
      <c r="N14" s="48">
        <f t="shared" si="3"/>
        <v>17552220</v>
      </c>
      <c r="O14" s="48">
        <f t="shared" si="3"/>
        <v>17919300</v>
      </c>
      <c r="P14" s="48">
        <f t="shared" si="3"/>
        <v>18286380</v>
      </c>
      <c r="Q14" s="48">
        <f t="shared" si="3"/>
        <v>18653460</v>
      </c>
      <c r="R14" s="48">
        <f t="shared" si="3"/>
        <v>19020540</v>
      </c>
      <c r="S14" s="48">
        <f t="shared" si="3"/>
        <v>19387620</v>
      </c>
      <c r="T14" s="48">
        <f t="shared" si="3"/>
        <v>19754700</v>
      </c>
      <c r="U14" s="48">
        <f t="shared" si="3"/>
        <v>20121780</v>
      </c>
      <c r="V14" s="48">
        <f t="shared" si="3"/>
        <v>20488860</v>
      </c>
      <c r="W14" s="48">
        <f t="shared" si="3"/>
        <v>20855940</v>
      </c>
      <c r="X14" s="48">
        <f t="shared" si="3"/>
        <v>21223020</v>
      </c>
      <c r="Y14" s="48">
        <f t="shared" ref="Y14:AC15" si="4">$G14+(($AD14-$G14)/($AD$4-$E$4))*(Y$4-$E$4)</f>
        <v>21590100</v>
      </c>
      <c r="Z14" s="48">
        <f t="shared" si="4"/>
        <v>21957180</v>
      </c>
      <c r="AA14" s="48">
        <f t="shared" si="4"/>
        <v>22324260</v>
      </c>
      <c r="AB14" s="48">
        <f t="shared" si="4"/>
        <v>22691340</v>
      </c>
      <c r="AC14" s="48">
        <f t="shared" si="4"/>
        <v>23058420</v>
      </c>
      <c r="AD14" s="155">
        <f>(Q68+R68)*E52</f>
        <v>23425500</v>
      </c>
      <c r="AE14" s="48">
        <f t="shared" ref="AE14:AS15" si="5">$G14+(($AD14-$G14)/($AD$4-$E$4))*(AE$4-$E$4)</f>
        <v>23792580</v>
      </c>
      <c r="AF14" s="48">
        <f t="shared" si="5"/>
        <v>24159660</v>
      </c>
      <c r="AG14" s="48">
        <f t="shared" si="5"/>
        <v>24526740</v>
      </c>
      <c r="AH14" s="48">
        <f t="shared" si="5"/>
        <v>24893820</v>
      </c>
      <c r="AI14" s="48">
        <f t="shared" si="5"/>
        <v>25260900</v>
      </c>
      <c r="AJ14" s="48">
        <f t="shared" si="5"/>
        <v>25627980</v>
      </c>
      <c r="AK14" s="48">
        <f t="shared" si="5"/>
        <v>25995060</v>
      </c>
      <c r="AL14" s="48">
        <f t="shared" si="5"/>
        <v>26362140</v>
      </c>
      <c r="AM14" s="48">
        <f t="shared" si="5"/>
        <v>26729220</v>
      </c>
      <c r="AN14" s="48">
        <f t="shared" si="5"/>
        <v>27096300</v>
      </c>
      <c r="AO14" s="48">
        <f t="shared" si="5"/>
        <v>27463380</v>
      </c>
      <c r="AP14" s="48">
        <f t="shared" si="5"/>
        <v>27830460</v>
      </c>
      <c r="AQ14" s="48">
        <f t="shared" si="5"/>
        <v>28197540</v>
      </c>
      <c r="AR14" s="48">
        <f t="shared" si="5"/>
        <v>28564620</v>
      </c>
      <c r="AS14" s="48">
        <f t="shared" si="5"/>
        <v>28931700</v>
      </c>
    </row>
    <row r="15" spans="1:45">
      <c r="A15" s="23"/>
      <c r="B15" s="26" t="str">
        <f>"PREFERRED (With "&amp;'BCA Summary'!$E$1&amp;") total annual entering volume"</f>
        <v>PREFERRED (With BUILD Grant) total annual entering volume</v>
      </c>
      <c r="E15" s="48">
        <f>$G15+(($AD15-$G15)/($AD$4-$E$4))*(E$4-$E$4)</f>
        <v>0</v>
      </c>
      <c r="F15" s="48">
        <f>$G15+(($AD15-$G15)/($AD$4-$E$4))*(F$4-$E$4)</f>
        <v>0</v>
      </c>
      <c r="G15" s="91">
        <f>(S68+T68)*E52</f>
        <v>0</v>
      </c>
      <c r="H15" s="48">
        <f>$G15+(($AD15-$G15)/($AD$4-$E$4))*(H$4-$E$4)</f>
        <v>0</v>
      </c>
      <c r="I15" s="48">
        <f t="shared" si="3"/>
        <v>0</v>
      </c>
      <c r="J15" s="48">
        <f t="shared" si="3"/>
        <v>0</v>
      </c>
      <c r="K15" s="48">
        <f t="shared" si="3"/>
        <v>0</v>
      </c>
      <c r="L15" s="48">
        <f t="shared" si="3"/>
        <v>0</v>
      </c>
      <c r="M15" s="48">
        <f t="shared" si="3"/>
        <v>0</v>
      </c>
      <c r="N15" s="48">
        <f t="shared" si="3"/>
        <v>0</v>
      </c>
      <c r="O15" s="48">
        <f t="shared" si="3"/>
        <v>0</v>
      </c>
      <c r="P15" s="48">
        <f t="shared" si="3"/>
        <v>0</v>
      </c>
      <c r="Q15" s="48">
        <f t="shared" si="3"/>
        <v>0</v>
      </c>
      <c r="R15" s="48">
        <f t="shared" si="3"/>
        <v>0</v>
      </c>
      <c r="S15" s="48">
        <f t="shared" si="3"/>
        <v>0</v>
      </c>
      <c r="T15" s="48">
        <f t="shared" si="3"/>
        <v>0</v>
      </c>
      <c r="U15" s="48">
        <f t="shared" si="3"/>
        <v>0</v>
      </c>
      <c r="V15" s="48">
        <f t="shared" si="3"/>
        <v>0</v>
      </c>
      <c r="W15" s="48">
        <f t="shared" si="3"/>
        <v>0</v>
      </c>
      <c r="X15" s="48">
        <f t="shared" si="3"/>
        <v>0</v>
      </c>
      <c r="Y15" s="48">
        <f t="shared" si="4"/>
        <v>0</v>
      </c>
      <c r="Z15" s="48">
        <f t="shared" si="4"/>
        <v>0</v>
      </c>
      <c r="AA15" s="48">
        <f t="shared" si="4"/>
        <v>0</v>
      </c>
      <c r="AB15" s="48">
        <f t="shared" si="4"/>
        <v>0</v>
      </c>
      <c r="AC15" s="48">
        <f t="shared" si="4"/>
        <v>0</v>
      </c>
      <c r="AD15" s="91">
        <f>(U68+V68)*E52</f>
        <v>0</v>
      </c>
      <c r="AE15" s="48">
        <f t="shared" si="5"/>
        <v>0</v>
      </c>
      <c r="AF15" s="48">
        <f t="shared" si="5"/>
        <v>0</v>
      </c>
      <c r="AG15" s="48">
        <f t="shared" si="5"/>
        <v>0</v>
      </c>
      <c r="AH15" s="48">
        <f t="shared" si="5"/>
        <v>0</v>
      </c>
      <c r="AI15" s="48">
        <f t="shared" si="5"/>
        <v>0</v>
      </c>
      <c r="AJ15" s="48">
        <f t="shared" si="5"/>
        <v>0</v>
      </c>
      <c r="AK15" s="48">
        <f t="shared" si="5"/>
        <v>0</v>
      </c>
      <c r="AL15" s="48">
        <f t="shared" si="5"/>
        <v>0</v>
      </c>
      <c r="AM15" s="48">
        <f t="shared" si="5"/>
        <v>0</v>
      </c>
      <c r="AN15" s="48">
        <f t="shared" si="5"/>
        <v>0</v>
      </c>
      <c r="AO15" s="48">
        <f t="shared" si="5"/>
        <v>0</v>
      </c>
      <c r="AP15" s="48">
        <f t="shared" si="5"/>
        <v>0</v>
      </c>
      <c r="AQ15" s="48">
        <f t="shared" si="5"/>
        <v>0</v>
      </c>
      <c r="AR15" s="48">
        <f t="shared" si="5"/>
        <v>0</v>
      </c>
      <c r="AS15" s="48">
        <f t="shared" si="5"/>
        <v>0</v>
      </c>
    </row>
    <row r="16" spans="1:45">
      <c r="D16"/>
    </row>
    <row r="17" spans="1:45">
      <c r="A17" s="154" t="str">
        <f>"BASELINE (No "&amp;'BCA Summary'!$E$1&amp;")"</f>
        <v>BASELINE (No BUILD Grant)</v>
      </c>
      <c r="B17" s="75"/>
      <c r="C17" s="75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S17" s="76"/>
    </row>
    <row r="18" spans="1:45">
      <c r="A18" s="75"/>
      <c r="B18" s="93" t="s">
        <v>38</v>
      </c>
      <c r="C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S18" s="76"/>
    </row>
    <row r="19" spans="1:45">
      <c r="A19" s="75"/>
      <c r="B19" s="93"/>
      <c r="C19" t="s">
        <v>279</v>
      </c>
      <c r="E19" s="77">
        <f>($P$55*G10)/1000000</f>
        <v>0</v>
      </c>
      <c r="F19" s="77">
        <f t="shared" ref="F19:AS19" si="6">($P$55*F10)/1000000</f>
        <v>0</v>
      </c>
      <c r="G19" s="77">
        <f t="shared" si="6"/>
        <v>0</v>
      </c>
      <c r="H19" s="77">
        <f t="shared" si="6"/>
        <v>0</v>
      </c>
      <c r="I19" s="77">
        <f t="shared" si="6"/>
        <v>0</v>
      </c>
      <c r="J19" s="77">
        <f t="shared" si="6"/>
        <v>0</v>
      </c>
      <c r="K19" s="77">
        <f t="shared" si="6"/>
        <v>0</v>
      </c>
      <c r="L19" s="77">
        <f t="shared" si="6"/>
        <v>0</v>
      </c>
      <c r="M19" s="77">
        <f t="shared" si="6"/>
        <v>0</v>
      </c>
      <c r="N19" s="77">
        <f t="shared" si="6"/>
        <v>0</v>
      </c>
      <c r="O19" s="77">
        <f t="shared" si="6"/>
        <v>0</v>
      </c>
      <c r="P19" s="77">
        <f t="shared" si="6"/>
        <v>0</v>
      </c>
      <c r="Q19" s="77">
        <f t="shared" si="6"/>
        <v>0</v>
      </c>
      <c r="R19" s="77">
        <f t="shared" si="6"/>
        <v>0</v>
      </c>
      <c r="S19" s="77">
        <f t="shared" si="6"/>
        <v>0</v>
      </c>
      <c r="T19" s="77">
        <f t="shared" si="6"/>
        <v>0</v>
      </c>
      <c r="U19" s="77">
        <f t="shared" si="6"/>
        <v>0</v>
      </c>
      <c r="V19" s="77">
        <f t="shared" si="6"/>
        <v>0</v>
      </c>
      <c r="W19" s="77">
        <f t="shared" si="6"/>
        <v>0</v>
      </c>
      <c r="X19" s="77">
        <f t="shared" si="6"/>
        <v>0</v>
      </c>
      <c r="Y19" s="77">
        <f t="shared" si="6"/>
        <v>0</v>
      </c>
      <c r="Z19" s="77">
        <f t="shared" si="6"/>
        <v>0</v>
      </c>
      <c r="AA19" s="77">
        <f t="shared" si="6"/>
        <v>0</v>
      </c>
      <c r="AB19" s="77">
        <f t="shared" si="6"/>
        <v>0</v>
      </c>
      <c r="AC19" s="77">
        <f t="shared" si="6"/>
        <v>0</v>
      </c>
      <c r="AD19" s="77">
        <f t="shared" si="6"/>
        <v>0</v>
      </c>
      <c r="AE19" s="77">
        <f t="shared" si="6"/>
        <v>0</v>
      </c>
      <c r="AF19" s="77">
        <f t="shared" si="6"/>
        <v>0</v>
      </c>
      <c r="AG19" s="77">
        <f t="shared" si="6"/>
        <v>0</v>
      </c>
      <c r="AH19" s="77">
        <f t="shared" si="6"/>
        <v>0</v>
      </c>
      <c r="AI19" s="77">
        <f t="shared" si="6"/>
        <v>0</v>
      </c>
      <c r="AJ19" s="77">
        <f t="shared" si="6"/>
        <v>0</v>
      </c>
      <c r="AK19" s="77">
        <f t="shared" si="6"/>
        <v>0</v>
      </c>
      <c r="AL19" s="77">
        <f t="shared" si="6"/>
        <v>0</v>
      </c>
      <c r="AM19" s="77">
        <f t="shared" si="6"/>
        <v>0</v>
      </c>
      <c r="AN19" s="77">
        <f t="shared" si="6"/>
        <v>0</v>
      </c>
      <c r="AO19" s="77">
        <f t="shared" si="6"/>
        <v>0</v>
      </c>
      <c r="AP19" s="77">
        <f t="shared" si="6"/>
        <v>0</v>
      </c>
      <c r="AQ19" s="77">
        <f t="shared" si="6"/>
        <v>0</v>
      </c>
      <c r="AR19" s="77">
        <f t="shared" si="6"/>
        <v>0</v>
      </c>
      <c r="AS19" s="77">
        <f t="shared" si="6"/>
        <v>0</v>
      </c>
    </row>
    <row r="20" spans="1:45">
      <c r="A20" s="75"/>
      <c r="B20" s="93"/>
      <c r="C20" t="s">
        <v>274</v>
      </c>
      <c r="E20" s="77">
        <f>($P$56*G14)/1000000</f>
        <v>0</v>
      </c>
      <c r="F20" s="77">
        <f t="shared" ref="F20:AS20" si="7">($P$56*F14)/1000000</f>
        <v>0</v>
      </c>
      <c r="G20" s="77">
        <f t="shared" si="7"/>
        <v>0</v>
      </c>
      <c r="H20" s="77">
        <f t="shared" si="7"/>
        <v>0</v>
      </c>
      <c r="I20" s="77">
        <f t="shared" si="7"/>
        <v>0</v>
      </c>
      <c r="J20" s="77">
        <f t="shared" si="7"/>
        <v>0</v>
      </c>
      <c r="K20" s="77">
        <f t="shared" si="7"/>
        <v>0</v>
      </c>
      <c r="L20" s="77">
        <f t="shared" si="7"/>
        <v>0</v>
      </c>
      <c r="M20" s="77">
        <f t="shared" si="7"/>
        <v>0</v>
      </c>
      <c r="N20" s="77">
        <f t="shared" si="7"/>
        <v>0</v>
      </c>
      <c r="O20" s="77">
        <f t="shared" si="7"/>
        <v>0</v>
      </c>
      <c r="P20" s="77">
        <f t="shared" si="7"/>
        <v>0</v>
      </c>
      <c r="Q20" s="77">
        <f t="shared" si="7"/>
        <v>0</v>
      </c>
      <c r="R20" s="77">
        <f t="shared" si="7"/>
        <v>0</v>
      </c>
      <c r="S20" s="77">
        <f t="shared" si="7"/>
        <v>0</v>
      </c>
      <c r="T20" s="77">
        <f t="shared" si="7"/>
        <v>0</v>
      </c>
      <c r="U20" s="77">
        <f t="shared" si="7"/>
        <v>0</v>
      </c>
      <c r="V20" s="77">
        <f t="shared" si="7"/>
        <v>0</v>
      </c>
      <c r="W20" s="77">
        <f t="shared" si="7"/>
        <v>0</v>
      </c>
      <c r="X20" s="77">
        <f t="shared" si="7"/>
        <v>0</v>
      </c>
      <c r="Y20" s="77">
        <f t="shared" si="7"/>
        <v>0</v>
      </c>
      <c r="Z20" s="77">
        <f t="shared" si="7"/>
        <v>0</v>
      </c>
      <c r="AA20" s="77">
        <f t="shared" si="7"/>
        <v>0</v>
      </c>
      <c r="AB20" s="77">
        <f t="shared" si="7"/>
        <v>0</v>
      </c>
      <c r="AC20" s="77">
        <f t="shared" si="7"/>
        <v>0</v>
      </c>
      <c r="AD20" s="77">
        <f t="shared" si="7"/>
        <v>0</v>
      </c>
      <c r="AE20" s="77">
        <f t="shared" si="7"/>
        <v>0</v>
      </c>
      <c r="AF20" s="77">
        <f t="shared" si="7"/>
        <v>0</v>
      </c>
      <c r="AG20" s="77">
        <f t="shared" si="7"/>
        <v>0</v>
      </c>
      <c r="AH20" s="77">
        <f t="shared" si="7"/>
        <v>0</v>
      </c>
      <c r="AI20" s="77">
        <f t="shared" si="7"/>
        <v>0</v>
      </c>
      <c r="AJ20" s="77">
        <f t="shared" si="7"/>
        <v>0</v>
      </c>
      <c r="AK20" s="77">
        <f t="shared" si="7"/>
        <v>0</v>
      </c>
      <c r="AL20" s="77">
        <f t="shared" si="7"/>
        <v>0</v>
      </c>
      <c r="AM20" s="77">
        <f t="shared" si="7"/>
        <v>0</v>
      </c>
      <c r="AN20" s="77">
        <f t="shared" si="7"/>
        <v>0</v>
      </c>
      <c r="AO20" s="77">
        <f t="shared" si="7"/>
        <v>0</v>
      </c>
      <c r="AP20" s="77">
        <f t="shared" si="7"/>
        <v>0</v>
      </c>
      <c r="AQ20" s="77">
        <f t="shared" si="7"/>
        <v>0</v>
      </c>
      <c r="AR20" s="77">
        <f t="shared" si="7"/>
        <v>0</v>
      </c>
      <c r="AS20" s="77">
        <f t="shared" si="7"/>
        <v>0</v>
      </c>
    </row>
    <row r="21" spans="1:45">
      <c r="A21" s="75"/>
      <c r="B21" s="93" t="s">
        <v>114</v>
      </c>
      <c r="C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</row>
    <row r="22" spans="1:45">
      <c r="A22" s="75"/>
      <c r="B22" s="93"/>
      <c r="C22" t="s">
        <v>279</v>
      </c>
      <c r="E22" s="77">
        <f>(($Q$55*G10)/1000000)*$S$55</f>
        <v>6.1753424657534239</v>
      </c>
      <c r="F22" s="77">
        <f t="shared" ref="F22:AS22" si="8">(($Q$55*F10)/1000000)*$S$55</f>
        <v>6.075194043650697</v>
      </c>
      <c r="G22" s="77">
        <f t="shared" si="8"/>
        <v>6.1753424657534239</v>
      </c>
      <c r="H22" s="77">
        <f t="shared" si="8"/>
        <v>6.2754908878561508</v>
      </c>
      <c r="I22" s="77">
        <f t="shared" si="8"/>
        <v>6.5438886590914613</v>
      </c>
      <c r="J22" s="77">
        <f t="shared" si="8"/>
        <v>6.6360252074259698</v>
      </c>
      <c r="K22" s="77">
        <f t="shared" si="8"/>
        <v>6.7281617557604809</v>
      </c>
      <c r="L22" s="77">
        <f t="shared" si="8"/>
        <v>6.8202983040949894</v>
      </c>
      <c r="M22" s="77">
        <f t="shared" si="8"/>
        <v>6.9124348524294996</v>
      </c>
      <c r="N22" s="77">
        <f t="shared" si="8"/>
        <v>7.0045714007640072</v>
      </c>
      <c r="O22" s="77">
        <f t="shared" si="8"/>
        <v>7.0967079490985183</v>
      </c>
      <c r="P22" s="77">
        <f t="shared" si="8"/>
        <v>7.1888444974330268</v>
      </c>
      <c r="Q22" s="77">
        <f t="shared" si="8"/>
        <v>7.280981045767537</v>
      </c>
      <c r="R22" s="77">
        <f t="shared" si="8"/>
        <v>7.3731175941020455</v>
      </c>
      <c r="S22" s="77">
        <f t="shared" si="8"/>
        <v>7.4652541424365557</v>
      </c>
      <c r="T22" s="77">
        <f t="shared" si="8"/>
        <v>7.5573906907710642</v>
      </c>
      <c r="U22" s="77">
        <f t="shared" si="8"/>
        <v>7.6495272391055726</v>
      </c>
      <c r="V22" s="77">
        <f t="shared" si="8"/>
        <v>7.7416637874400829</v>
      </c>
      <c r="W22" s="77">
        <f t="shared" si="8"/>
        <v>7.8338003357745922</v>
      </c>
      <c r="X22" s="77">
        <f t="shared" si="8"/>
        <v>7.9259368841091025</v>
      </c>
      <c r="Y22" s="77">
        <f t="shared" si="8"/>
        <v>8.0180734324436109</v>
      </c>
      <c r="Z22" s="77">
        <f t="shared" si="8"/>
        <v>8.1102099807781212</v>
      </c>
      <c r="AA22" s="77">
        <f t="shared" si="8"/>
        <v>8.2023465291126296</v>
      </c>
      <c r="AB22" s="77">
        <f t="shared" si="8"/>
        <v>8.2944830774471399</v>
      </c>
      <c r="AC22" s="77">
        <f t="shared" si="8"/>
        <v>8.3866196257816483</v>
      </c>
      <c r="AD22" s="77">
        <f t="shared" si="8"/>
        <v>8.4787561741161586</v>
      </c>
      <c r="AE22" s="77">
        <f t="shared" si="8"/>
        <v>8.570892722450667</v>
      </c>
      <c r="AF22" s="77">
        <f t="shared" si="8"/>
        <v>8.6630292707851755</v>
      </c>
      <c r="AG22" s="77">
        <f t="shared" si="8"/>
        <v>8.7551658191196857</v>
      </c>
      <c r="AH22" s="77">
        <f t="shared" si="8"/>
        <v>8.847302367454196</v>
      </c>
      <c r="AI22" s="77">
        <f t="shared" si="8"/>
        <v>8.9394389157887044</v>
      </c>
      <c r="AJ22" s="77">
        <f t="shared" si="8"/>
        <v>9.0315754641232129</v>
      </c>
      <c r="AK22" s="77">
        <f t="shared" si="8"/>
        <v>9.1237120124577231</v>
      </c>
      <c r="AL22" s="77">
        <f t="shared" si="8"/>
        <v>9.2158485607922334</v>
      </c>
      <c r="AM22" s="77">
        <f t="shared" si="8"/>
        <v>9.3079851091267418</v>
      </c>
      <c r="AN22" s="77">
        <f t="shared" si="8"/>
        <v>9.4001216574612503</v>
      </c>
      <c r="AO22" s="77">
        <f t="shared" si="8"/>
        <v>9.4922582057957605</v>
      </c>
      <c r="AP22" s="77">
        <f t="shared" si="8"/>
        <v>9.5843947541302708</v>
      </c>
      <c r="AQ22" s="77">
        <f t="shared" si="8"/>
        <v>9.6765313024647792</v>
      </c>
      <c r="AR22" s="77">
        <f t="shared" si="8"/>
        <v>9.7686678507992895</v>
      </c>
      <c r="AS22" s="77">
        <f t="shared" si="8"/>
        <v>9.8608043991337979</v>
      </c>
    </row>
    <row r="23" spans="1:45">
      <c r="A23" s="75"/>
      <c r="B23" s="93"/>
      <c r="C23" t="s">
        <v>274</v>
      </c>
      <c r="E23" s="77">
        <f>(($Q$56*G14)/1000000)*$S$56</f>
        <v>6.3013698630136989</v>
      </c>
      <c r="F23" s="77">
        <f t="shared" ref="F23:AS23" si="9">(($Q$56*F14)/1000000)*$S$56</f>
        <v>6.1249129324355707</v>
      </c>
      <c r="G23" s="77">
        <f t="shared" si="9"/>
        <v>6.3013698630136989</v>
      </c>
      <c r="H23" s="77">
        <f t="shared" si="9"/>
        <v>6.4778267935918272</v>
      </c>
      <c r="I23" s="77">
        <f t="shared" si="9"/>
        <v>6.9507313675412119</v>
      </c>
      <c r="J23" s="77">
        <f t="shared" si="9"/>
        <v>7.1130717436730899</v>
      </c>
      <c r="K23" s="77">
        <f t="shared" si="9"/>
        <v>7.2754121198049688</v>
      </c>
      <c r="L23" s="77">
        <f t="shared" si="9"/>
        <v>7.4377524959368477</v>
      </c>
      <c r="M23" s="77">
        <f t="shared" si="9"/>
        <v>7.6000928720687257</v>
      </c>
      <c r="N23" s="77">
        <f t="shared" si="9"/>
        <v>7.7624332482006038</v>
      </c>
      <c r="O23" s="77">
        <f t="shared" si="9"/>
        <v>7.9247736243324818</v>
      </c>
      <c r="P23" s="77">
        <f t="shared" si="9"/>
        <v>8.0871140004643607</v>
      </c>
      <c r="Q23" s="77">
        <f t="shared" si="9"/>
        <v>8.2494543765962387</v>
      </c>
      <c r="R23" s="77">
        <f t="shared" si="9"/>
        <v>8.4117947527281185</v>
      </c>
      <c r="S23" s="77">
        <f t="shared" si="9"/>
        <v>8.5741351288599947</v>
      </c>
      <c r="T23" s="77">
        <f t="shared" si="9"/>
        <v>8.7364755049918745</v>
      </c>
      <c r="U23" s="77">
        <f t="shared" si="9"/>
        <v>8.8988158811237508</v>
      </c>
      <c r="V23" s="77">
        <f t="shared" si="9"/>
        <v>9.0611562572556306</v>
      </c>
      <c r="W23" s="77">
        <f t="shared" si="9"/>
        <v>9.2234966333875086</v>
      </c>
      <c r="X23" s="77">
        <f t="shared" si="9"/>
        <v>9.3858370095193866</v>
      </c>
      <c r="Y23" s="77">
        <f t="shared" si="9"/>
        <v>9.5481773856512664</v>
      </c>
      <c r="Z23" s="77">
        <f t="shared" si="9"/>
        <v>9.7105177617831426</v>
      </c>
      <c r="AA23" s="77">
        <f t="shared" si="9"/>
        <v>9.8728581379150224</v>
      </c>
      <c r="AB23" s="77">
        <f t="shared" si="9"/>
        <v>10.0351985140469</v>
      </c>
      <c r="AC23" s="77">
        <f t="shared" si="9"/>
        <v>10.197538890178778</v>
      </c>
      <c r="AD23" s="77">
        <f t="shared" si="9"/>
        <v>10.359879266310656</v>
      </c>
      <c r="AE23" s="77">
        <f t="shared" si="9"/>
        <v>10.522219642442536</v>
      </c>
      <c r="AF23" s="77">
        <f t="shared" si="9"/>
        <v>10.684560018574413</v>
      </c>
      <c r="AG23" s="77">
        <f t="shared" si="9"/>
        <v>10.846900394706292</v>
      </c>
      <c r="AH23" s="77">
        <f t="shared" si="9"/>
        <v>11.009240770838172</v>
      </c>
      <c r="AI23" s="77">
        <f t="shared" si="9"/>
        <v>11.171581146970048</v>
      </c>
      <c r="AJ23" s="77">
        <f t="shared" si="9"/>
        <v>11.333921523101928</v>
      </c>
      <c r="AK23" s="77">
        <f t="shared" si="9"/>
        <v>11.496261899233804</v>
      </c>
      <c r="AL23" s="77">
        <f t="shared" si="9"/>
        <v>11.658602275365684</v>
      </c>
      <c r="AM23" s="77">
        <f t="shared" si="9"/>
        <v>11.820942651497562</v>
      </c>
      <c r="AN23" s="77">
        <f t="shared" si="9"/>
        <v>11.98328302762944</v>
      </c>
      <c r="AO23" s="77">
        <f t="shared" si="9"/>
        <v>12.145623403761318</v>
      </c>
      <c r="AP23" s="77">
        <f t="shared" si="9"/>
        <v>12.307963779893196</v>
      </c>
      <c r="AQ23" s="77">
        <f t="shared" si="9"/>
        <v>12.470304156025076</v>
      </c>
      <c r="AR23" s="77">
        <f t="shared" si="9"/>
        <v>12.632644532156954</v>
      </c>
      <c r="AS23" s="77">
        <f t="shared" si="9"/>
        <v>12.794984908288832</v>
      </c>
    </row>
    <row r="24" spans="1:45">
      <c r="A24" s="75"/>
      <c r="B24" s="93" t="s">
        <v>115</v>
      </c>
      <c r="C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</row>
    <row r="25" spans="1:45">
      <c r="A25" s="75"/>
      <c r="B25" s="93"/>
      <c r="C25" t="s">
        <v>279</v>
      </c>
      <c r="E25" s="77">
        <f>(($R$55*G10)/1000000)*$I$60</f>
        <v>37.808219178082183</v>
      </c>
      <c r="F25" s="77">
        <f t="shared" ref="F25:AS25" si="10">(($R$55*F10)/1000000)*$I$60</f>
        <v>37.195065573371615</v>
      </c>
      <c r="G25" s="77">
        <f t="shared" si="10"/>
        <v>37.808219178082183</v>
      </c>
      <c r="H25" s="77">
        <f t="shared" si="10"/>
        <v>38.421372782792766</v>
      </c>
      <c r="I25" s="77">
        <f t="shared" si="10"/>
        <v>40.064624443417109</v>
      </c>
      <c r="J25" s="77">
        <f t="shared" si="10"/>
        <v>40.628725759750843</v>
      </c>
      <c r="K25" s="77">
        <f t="shared" si="10"/>
        <v>41.192827076084569</v>
      </c>
      <c r="L25" s="77">
        <f t="shared" si="10"/>
        <v>41.75692839241831</v>
      </c>
      <c r="M25" s="77">
        <f t="shared" si="10"/>
        <v>42.321029708752036</v>
      </c>
      <c r="N25" s="77">
        <f t="shared" si="10"/>
        <v>42.885131025085769</v>
      </c>
      <c r="O25" s="77">
        <f t="shared" si="10"/>
        <v>43.449232341419496</v>
      </c>
      <c r="P25" s="77">
        <f t="shared" si="10"/>
        <v>44.013333657753229</v>
      </c>
      <c r="Q25" s="77">
        <f t="shared" si="10"/>
        <v>44.577434974086955</v>
      </c>
      <c r="R25" s="77">
        <f t="shared" si="10"/>
        <v>45.141536290420696</v>
      </c>
      <c r="S25" s="77">
        <f t="shared" si="10"/>
        <v>45.705637606754422</v>
      </c>
      <c r="T25" s="77">
        <f t="shared" si="10"/>
        <v>46.269738923088156</v>
      </c>
      <c r="U25" s="77">
        <f t="shared" si="10"/>
        <v>46.833840239421882</v>
      </c>
      <c r="V25" s="77">
        <f t="shared" si="10"/>
        <v>47.397941555755615</v>
      </c>
      <c r="W25" s="77">
        <f t="shared" si="10"/>
        <v>47.962042872089334</v>
      </c>
      <c r="X25" s="77">
        <f t="shared" si="10"/>
        <v>48.526144188423075</v>
      </c>
      <c r="Y25" s="77">
        <f t="shared" si="10"/>
        <v>49.090245504756801</v>
      </c>
      <c r="Z25" s="77">
        <f t="shared" si="10"/>
        <v>49.654346821090535</v>
      </c>
      <c r="AA25" s="77">
        <f t="shared" si="10"/>
        <v>50.218448137424261</v>
      </c>
      <c r="AB25" s="77">
        <f t="shared" si="10"/>
        <v>50.782549453757994</v>
      </c>
      <c r="AC25" s="77">
        <f t="shared" si="10"/>
        <v>51.346650770091721</v>
      </c>
      <c r="AD25" s="77">
        <f t="shared" si="10"/>
        <v>51.910752086425461</v>
      </c>
      <c r="AE25" s="77">
        <f t="shared" si="10"/>
        <v>52.474853402759187</v>
      </c>
      <c r="AF25" s="77">
        <f t="shared" si="10"/>
        <v>53.038954719092921</v>
      </c>
      <c r="AG25" s="77">
        <f t="shared" si="10"/>
        <v>53.603056035426647</v>
      </c>
      <c r="AH25" s="77">
        <f t="shared" si="10"/>
        <v>54.16715735176038</v>
      </c>
      <c r="AI25" s="77">
        <f t="shared" si="10"/>
        <v>54.731258668094114</v>
      </c>
      <c r="AJ25" s="77">
        <f t="shared" si="10"/>
        <v>55.295359984427847</v>
      </c>
      <c r="AK25" s="77">
        <f t="shared" si="10"/>
        <v>55.859461300761573</v>
      </c>
      <c r="AL25" s="77">
        <f t="shared" si="10"/>
        <v>56.423562617095307</v>
      </c>
      <c r="AM25" s="77">
        <f t="shared" si="10"/>
        <v>56.987663933429033</v>
      </c>
      <c r="AN25" s="77">
        <f t="shared" si="10"/>
        <v>57.551765249762767</v>
      </c>
      <c r="AO25" s="77">
        <f t="shared" si="10"/>
        <v>58.1158665660965</v>
      </c>
      <c r="AP25" s="77">
        <f t="shared" si="10"/>
        <v>58.679967882430233</v>
      </c>
      <c r="AQ25" s="77">
        <f t="shared" si="10"/>
        <v>59.244069198763952</v>
      </c>
      <c r="AR25" s="77">
        <f t="shared" si="10"/>
        <v>59.808170515097686</v>
      </c>
      <c r="AS25" s="77">
        <f t="shared" si="10"/>
        <v>60.372271831431412</v>
      </c>
    </row>
    <row r="26" spans="1:45">
      <c r="A26" s="75"/>
      <c r="B26" s="93"/>
      <c r="C26" t="s">
        <v>274</v>
      </c>
      <c r="E26" s="77">
        <f>(($R$56*G14)/1000000)*$I$61</f>
        <v>16.045988258317024</v>
      </c>
      <c r="F26" s="77">
        <f t="shared" ref="F26:AS26" si="11">(($R$56*F14)/1000000)*$I$61</f>
        <v>15.596653288666293</v>
      </c>
      <c r="G26" s="77">
        <f t="shared" si="11"/>
        <v>16.045988258317024</v>
      </c>
      <c r="H26" s="77">
        <f t="shared" si="11"/>
        <v>16.495323227967763</v>
      </c>
      <c r="I26" s="77">
        <f t="shared" si="11"/>
        <v>17.699540946631728</v>
      </c>
      <c r="J26" s="77">
        <f t="shared" si="11"/>
        <v>18.112929118710404</v>
      </c>
      <c r="K26" s="77">
        <f t="shared" si="11"/>
        <v>18.526317290789081</v>
      </c>
      <c r="L26" s="77">
        <f t="shared" si="11"/>
        <v>18.939705462867757</v>
      </c>
      <c r="M26" s="77">
        <f t="shared" si="11"/>
        <v>19.353093634946433</v>
      </c>
      <c r="N26" s="77">
        <f t="shared" si="11"/>
        <v>19.766481807025109</v>
      </c>
      <c r="O26" s="77">
        <f t="shared" si="11"/>
        <v>20.179869979103788</v>
      </c>
      <c r="P26" s="77">
        <f t="shared" si="11"/>
        <v>20.593258151182464</v>
      </c>
      <c r="Q26" s="77">
        <f t="shared" si="11"/>
        <v>21.006646323261133</v>
      </c>
      <c r="R26" s="77">
        <f t="shared" si="11"/>
        <v>21.420034495339809</v>
      </c>
      <c r="S26" s="77">
        <f t="shared" si="11"/>
        <v>21.833422667418485</v>
      </c>
      <c r="T26" s="77">
        <f t="shared" si="11"/>
        <v>22.246810839497165</v>
      </c>
      <c r="U26" s="77">
        <f t="shared" si="11"/>
        <v>22.660199011575841</v>
      </c>
      <c r="V26" s="77">
        <f t="shared" si="11"/>
        <v>23.073587183654514</v>
      </c>
      <c r="W26" s="77">
        <f t="shared" si="11"/>
        <v>23.48697535573319</v>
      </c>
      <c r="X26" s="77">
        <f t="shared" si="11"/>
        <v>23.900363527811869</v>
      </c>
      <c r="Y26" s="77">
        <f t="shared" si="11"/>
        <v>24.313751699890545</v>
      </c>
      <c r="Z26" s="77">
        <f t="shared" si="11"/>
        <v>24.727139871969221</v>
      </c>
      <c r="AA26" s="77">
        <f t="shared" si="11"/>
        <v>25.140528044047898</v>
      </c>
      <c r="AB26" s="77">
        <f t="shared" si="11"/>
        <v>25.55391621612657</v>
      </c>
      <c r="AC26" s="77">
        <f t="shared" si="11"/>
        <v>25.967304388205246</v>
      </c>
      <c r="AD26" s="77">
        <f t="shared" si="11"/>
        <v>26.380692560283922</v>
      </c>
      <c r="AE26" s="77">
        <f t="shared" si="11"/>
        <v>26.794080732362598</v>
      </c>
      <c r="AF26" s="77">
        <f t="shared" si="11"/>
        <v>27.207468904441274</v>
      </c>
      <c r="AG26" s="77">
        <f t="shared" si="11"/>
        <v>27.620857076519954</v>
      </c>
      <c r="AH26" s="77">
        <f t="shared" si="11"/>
        <v>28.034245248598626</v>
      </c>
      <c r="AI26" s="77">
        <f t="shared" si="11"/>
        <v>28.447633420677302</v>
      </c>
      <c r="AJ26" s="77">
        <f t="shared" si="11"/>
        <v>28.861021592755979</v>
      </c>
      <c r="AK26" s="77">
        <f t="shared" si="11"/>
        <v>29.274409764834658</v>
      </c>
      <c r="AL26" s="77">
        <f t="shared" si="11"/>
        <v>29.687797936913334</v>
      </c>
      <c r="AM26" s="77">
        <f t="shared" si="11"/>
        <v>30.101186108992003</v>
      </c>
      <c r="AN26" s="77">
        <f t="shared" si="11"/>
        <v>30.514574281070679</v>
      </c>
      <c r="AO26" s="77">
        <f t="shared" si="11"/>
        <v>30.927962453149359</v>
      </c>
      <c r="AP26" s="77">
        <f t="shared" si="11"/>
        <v>31.341350625228035</v>
      </c>
      <c r="AQ26" s="77">
        <f t="shared" si="11"/>
        <v>31.754738797306711</v>
      </c>
      <c r="AR26" s="77">
        <f t="shared" si="11"/>
        <v>32.168126969385384</v>
      </c>
      <c r="AS26" s="77">
        <f t="shared" si="11"/>
        <v>32.58151514146406</v>
      </c>
    </row>
    <row r="27" spans="1:45">
      <c r="A27" s="75"/>
      <c r="B27" s="93"/>
      <c r="C2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</row>
    <row r="28" spans="1:45">
      <c r="A28" s="92" t="str">
        <f>"PREFERRED ("&amp;'BCA Summary'!$E$1&amp;")"</f>
        <v>PREFERRED (BUILD Grant)</v>
      </c>
      <c r="B28" s="92"/>
      <c r="C28" s="75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</row>
    <row r="29" spans="1:45">
      <c r="A29" s="75"/>
      <c r="B29" s="93" t="s">
        <v>38</v>
      </c>
      <c r="C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</row>
    <row r="30" spans="1:45">
      <c r="A30" s="75"/>
      <c r="B30" s="93"/>
      <c r="C30" t="s">
        <v>279</v>
      </c>
      <c r="E30" s="77">
        <f>($P$57*G11)/1000000</f>
        <v>0</v>
      </c>
      <c r="F30" s="77">
        <f t="shared" ref="F30:AS30" si="12">($P$57*F11)/1000000</f>
        <v>0</v>
      </c>
      <c r="G30" s="77">
        <f t="shared" si="12"/>
        <v>0</v>
      </c>
      <c r="H30" s="77">
        <f t="shared" si="12"/>
        <v>0</v>
      </c>
      <c r="I30" s="77">
        <f t="shared" si="12"/>
        <v>0</v>
      </c>
      <c r="J30" s="77">
        <f t="shared" si="12"/>
        <v>0</v>
      </c>
      <c r="K30" s="77">
        <f t="shared" si="12"/>
        <v>0</v>
      </c>
      <c r="L30" s="77">
        <f t="shared" si="12"/>
        <v>0</v>
      </c>
      <c r="M30" s="77">
        <f t="shared" si="12"/>
        <v>0</v>
      </c>
      <c r="N30" s="77">
        <f t="shared" si="12"/>
        <v>0</v>
      </c>
      <c r="O30" s="77">
        <f t="shared" si="12"/>
        <v>0</v>
      </c>
      <c r="P30" s="77">
        <f t="shared" si="12"/>
        <v>0</v>
      </c>
      <c r="Q30" s="77">
        <f t="shared" si="12"/>
        <v>0</v>
      </c>
      <c r="R30" s="77">
        <f t="shared" si="12"/>
        <v>0</v>
      </c>
      <c r="S30" s="77">
        <f t="shared" si="12"/>
        <v>0</v>
      </c>
      <c r="T30" s="77">
        <f t="shared" si="12"/>
        <v>0</v>
      </c>
      <c r="U30" s="77">
        <f t="shared" si="12"/>
        <v>0</v>
      </c>
      <c r="V30" s="77">
        <f t="shared" si="12"/>
        <v>0</v>
      </c>
      <c r="W30" s="77">
        <f t="shared" si="12"/>
        <v>0</v>
      </c>
      <c r="X30" s="77">
        <f t="shared" si="12"/>
        <v>0</v>
      </c>
      <c r="Y30" s="77">
        <f t="shared" si="12"/>
        <v>0</v>
      </c>
      <c r="Z30" s="77">
        <f t="shared" si="12"/>
        <v>0</v>
      </c>
      <c r="AA30" s="77">
        <f t="shared" si="12"/>
        <v>0</v>
      </c>
      <c r="AB30" s="77">
        <f t="shared" si="12"/>
        <v>0</v>
      </c>
      <c r="AC30" s="77">
        <f t="shared" si="12"/>
        <v>0</v>
      </c>
      <c r="AD30" s="77">
        <f t="shared" si="12"/>
        <v>0</v>
      </c>
      <c r="AE30" s="77">
        <f t="shared" si="12"/>
        <v>0</v>
      </c>
      <c r="AF30" s="77">
        <f t="shared" si="12"/>
        <v>0</v>
      </c>
      <c r="AG30" s="77">
        <f t="shared" si="12"/>
        <v>0</v>
      </c>
      <c r="AH30" s="77">
        <f t="shared" si="12"/>
        <v>0</v>
      </c>
      <c r="AI30" s="77">
        <f t="shared" si="12"/>
        <v>0</v>
      </c>
      <c r="AJ30" s="77">
        <f t="shared" si="12"/>
        <v>0</v>
      </c>
      <c r="AK30" s="77">
        <f t="shared" si="12"/>
        <v>0</v>
      </c>
      <c r="AL30" s="77">
        <f t="shared" si="12"/>
        <v>0</v>
      </c>
      <c r="AM30" s="77">
        <f t="shared" si="12"/>
        <v>0</v>
      </c>
      <c r="AN30" s="77">
        <f t="shared" si="12"/>
        <v>0</v>
      </c>
      <c r="AO30" s="77">
        <f t="shared" si="12"/>
        <v>0</v>
      </c>
      <c r="AP30" s="77">
        <f t="shared" si="12"/>
        <v>0</v>
      </c>
      <c r="AQ30" s="77">
        <f t="shared" si="12"/>
        <v>0</v>
      </c>
      <c r="AR30" s="77">
        <f t="shared" si="12"/>
        <v>0</v>
      </c>
      <c r="AS30" s="77">
        <f t="shared" si="12"/>
        <v>0</v>
      </c>
    </row>
    <row r="31" spans="1:45">
      <c r="A31" s="75"/>
      <c r="B31" s="93"/>
      <c r="C31" t="s">
        <v>274</v>
      </c>
      <c r="E31" s="77">
        <f>($P$56*G15)/1000000</f>
        <v>0</v>
      </c>
      <c r="F31" s="77">
        <f t="shared" ref="F31:AS31" si="13">($P$56*F15)/1000000</f>
        <v>0</v>
      </c>
      <c r="G31" s="77">
        <f t="shared" si="13"/>
        <v>0</v>
      </c>
      <c r="H31" s="77">
        <f t="shared" si="13"/>
        <v>0</v>
      </c>
      <c r="I31" s="77">
        <f t="shared" si="13"/>
        <v>0</v>
      </c>
      <c r="J31" s="77">
        <f t="shared" si="13"/>
        <v>0</v>
      </c>
      <c r="K31" s="77">
        <f t="shared" si="13"/>
        <v>0</v>
      </c>
      <c r="L31" s="77">
        <f t="shared" si="13"/>
        <v>0</v>
      </c>
      <c r="M31" s="77">
        <f t="shared" si="13"/>
        <v>0</v>
      </c>
      <c r="N31" s="77">
        <f t="shared" si="13"/>
        <v>0</v>
      </c>
      <c r="O31" s="77">
        <f t="shared" si="13"/>
        <v>0</v>
      </c>
      <c r="P31" s="77">
        <f t="shared" si="13"/>
        <v>0</v>
      </c>
      <c r="Q31" s="77">
        <f t="shared" si="13"/>
        <v>0</v>
      </c>
      <c r="R31" s="77">
        <f t="shared" si="13"/>
        <v>0</v>
      </c>
      <c r="S31" s="77">
        <f t="shared" si="13"/>
        <v>0</v>
      </c>
      <c r="T31" s="77">
        <f t="shared" si="13"/>
        <v>0</v>
      </c>
      <c r="U31" s="77">
        <f t="shared" si="13"/>
        <v>0</v>
      </c>
      <c r="V31" s="77">
        <f t="shared" si="13"/>
        <v>0</v>
      </c>
      <c r="W31" s="77">
        <f t="shared" si="13"/>
        <v>0</v>
      </c>
      <c r="X31" s="77">
        <f t="shared" si="13"/>
        <v>0</v>
      </c>
      <c r="Y31" s="77">
        <f t="shared" si="13"/>
        <v>0</v>
      </c>
      <c r="Z31" s="77">
        <f t="shared" si="13"/>
        <v>0</v>
      </c>
      <c r="AA31" s="77">
        <f t="shared" si="13"/>
        <v>0</v>
      </c>
      <c r="AB31" s="77">
        <f t="shared" si="13"/>
        <v>0</v>
      </c>
      <c r="AC31" s="77">
        <f t="shared" si="13"/>
        <v>0</v>
      </c>
      <c r="AD31" s="77">
        <f t="shared" si="13"/>
        <v>0</v>
      </c>
      <c r="AE31" s="77">
        <f t="shared" si="13"/>
        <v>0</v>
      </c>
      <c r="AF31" s="77">
        <f t="shared" si="13"/>
        <v>0</v>
      </c>
      <c r="AG31" s="77">
        <f t="shared" si="13"/>
        <v>0</v>
      </c>
      <c r="AH31" s="77">
        <f t="shared" si="13"/>
        <v>0</v>
      </c>
      <c r="AI31" s="77">
        <f t="shared" si="13"/>
        <v>0</v>
      </c>
      <c r="AJ31" s="77">
        <f t="shared" si="13"/>
        <v>0</v>
      </c>
      <c r="AK31" s="77">
        <f t="shared" si="13"/>
        <v>0</v>
      </c>
      <c r="AL31" s="77">
        <f t="shared" si="13"/>
        <v>0</v>
      </c>
      <c r="AM31" s="77">
        <f t="shared" si="13"/>
        <v>0</v>
      </c>
      <c r="AN31" s="77">
        <f t="shared" si="13"/>
        <v>0</v>
      </c>
      <c r="AO31" s="77">
        <f t="shared" si="13"/>
        <v>0</v>
      </c>
      <c r="AP31" s="77">
        <f t="shared" si="13"/>
        <v>0</v>
      </c>
      <c r="AQ31" s="77">
        <f t="shared" si="13"/>
        <v>0</v>
      </c>
      <c r="AR31" s="77">
        <f t="shared" si="13"/>
        <v>0</v>
      </c>
      <c r="AS31" s="77">
        <f t="shared" si="13"/>
        <v>0</v>
      </c>
    </row>
    <row r="32" spans="1:45">
      <c r="A32" s="75"/>
      <c r="B32" s="93" t="s">
        <v>114</v>
      </c>
      <c r="C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</row>
    <row r="33" spans="1:45">
      <c r="A33" s="75"/>
      <c r="B33" s="93"/>
      <c r="C33" t="s">
        <v>279</v>
      </c>
      <c r="E33" s="77">
        <f t="shared" ref="E33:AS33" si="14">(($Q$57*E11)/1000000)*$S$57</f>
        <v>2.276767649036429</v>
      </c>
      <c r="F33" s="77">
        <f t="shared" si="14"/>
        <v>2.3692798237669428</v>
      </c>
      <c r="G33" s="77">
        <f t="shared" si="14"/>
        <v>2.461791998497457</v>
      </c>
      <c r="H33" s="77">
        <f t="shared" si="14"/>
        <v>2.5543041732279708</v>
      </c>
      <c r="I33" s="77">
        <f t="shared" si="14"/>
        <v>2.6468163479584845</v>
      </c>
      <c r="J33" s="77">
        <f t="shared" si="14"/>
        <v>2.7393285226889987</v>
      </c>
      <c r="K33" s="77">
        <f t="shared" si="14"/>
        <v>2.8318406974195129</v>
      </c>
      <c r="L33" s="77">
        <f t="shared" si="14"/>
        <v>2.9243528721500267</v>
      </c>
      <c r="M33" s="77">
        <f t="shared" si="14"/>
        <v>3.0168650468805409</v>
      </c>
      <c r="N33" s="77">
        <f t="shared" si="14"/>
        <v>3.1093772216110551</v>
      </c>
      <c r="O33" s="77">
        <f t="shared" si="14"/>
        <v>3.2018893963415689</v>
      </c>
      <c r="P33" s="77">
        <f t="shared" si="14"/>
        <v>3.2944015710720826</v>
      </c>
      <c r="Q33" s="77">
        <f t="shared" si="14"/>
        <v>3.3869137458025964</v>
      </c>
      <c r="R33" s="77">
        <f t="shared" si="14"/>
        <v>3.4794259205331102</v>
      </c>
      <c r="S33" s="77">
        <f t="shared" si="14"/>
        <v>3.5719380952636244</v>
      </c>
      <c r="T33" s="77">
        <f t="shared" si="14"/>
        <v>3.6644502699941386</v>
      </c>
      <c r="U33" s="77">
        <f t="shared" si="14"/>
        <v>3.7569624447246519</v>
      </c>
      <c r="V33" s="77">
        <f t="shared" si="14"/>
        <v>3.8494746194551661</v>
      </c>
      <c r="W33" s="77">
        <f t="shared" si="14"/>
        <v>3.9419867941856803</v>
      </c>
      <c r="X33" s="77">
        <f t="shared" si="14"/>
        <v>4.0344989689161945</v>
      </c>
      <c r="Y33" s="77">
        <f t="shared" si="14"/>
        <v>4.1270111436467083</v>
      </c>
      <c r="Z33" s="77">
        <f t="shared" si="14"/>
        <v>4.2195233183772229</v>
      </c>
      <c r="AA33" s="77">
        <f t="shared" si="14"/>
        <v>4.3120354931077358</v>
      </c>
      <c r="AB33" s="77">
        <f t="shared" si="14"/>
        <v>4.4045476678382505</v>
      </c>
      <c r="AC33" s="77">
        <f t="shared" si="14"/>
        <v>4.4970598425687642</v>
      </c>
      <c r="AD33" s="77">
        <f t="shared" si="14"/>
        <v>4.589572017299278</v>
      </c>
      <c r="AE33" s="77">
        <f t="shared" si="14"/>
        <v>4.6746832180513511</v>
      </c>
      <c r="AF33" s="77">
        <f t="shared" si="14"/>
        <v>4.7597944188034234</v>
      </c>
      <c r="AG33" s="77">
        <f t="shared" si="14"/>
        <v>4.8449056195554974</v>
      </c>
      <c r="AH33" s="77">
        <f t="shared" si="14"/>
        <v>4.9300168203075705</v>
      </c>
      <c r="AI33" s="77">
        <f t="shared" si="14"/>
        <v>5.0151280210596427</v>
      </c>
      <c r="AJ33" s="77">
        <f t="shared" si="14"/>
        <v>5.1002392218117159</v>
      </c>
      <c r="AK33" s="77">
        <f t="shared" si="14"/>
        <v>5.185350422563789</v>
      </c>
      <c r="AL33" s="77">
        <f t="shared" si="14"/>
        <v>5.2704616233158612</v>
      </c>
      <c r="AM33" s="77">
        <f t="shared" si="14"/>
        <v>5.3555728240679343</v>
      </c>
      <c r="AN33" s="77">
        <f t="shared" si="14"/>
        <v>5.4406840248200075</v>
      </c>
      <c r="AO33" s="77">
        <f t="shared" si="14"/>
        <v>5.5257952255720806</v>
      </c>
      <c r="AP33" s="77">
        <f t="shared" si="14"/>
        <v>5.6109064263241528</v>
      </c>
      <c r="AQ33" s="77">
        <f t="shared" si="14"/>
        <v>5.6960176270762259</v>
      </c>
      <c r="AR33" s="77">
        <f t="shared" si="14"/>
        <v>5.7811288278282991</v>
      </c>
      <c r="AS33" s="77">
        <f t="shared" si="14"/>
        <v>5.8662400285803713</v>
      </c>
    </row>
    <row r="34" spans="1:45">
      <c r="A34" s="75"/>
      <c r="B34" s="93"/>
      <c r="C34" t="s">
        <v>274</v>
      </c>
      <c r="E34" s="77">
        <f>($Q$56*G15)/1000000</f>
        <v>0</v>
      </c>
      <c r="F34" s="77">
        <f t="shared" ref="F34:AS34" si="15">($Q$56*F15)/1000000</f>
        <v>0</v>
      </c>
      <c r="G34" s="77">
        <f t="shared" si="15"/>
        <v>0</v>
      </c>
      <c r="H34" s="77">
        <f t="shared" si="15"/>
        <v>0</v>
      </c>
      <c r="I34" s="77">
        <f t="shared" si="15"/>
        <v>0</v>
      </c>
      <c r="J34" s="77">
        <f t="shared" si="15"/>
        <v>0</v>
      </c>
      <c r="K34" s="77">
        <f t="shared" si="15"/>
        <v>0</v>
      </c>
      <c r="L34" s="77">
        <f t="shared" si="15"/>
        <v>0</v>
      </c>
      <c r="M34" s="77">
        <f t="shared" si="15"/>
        <v>0</v>
      </c>
      <c r="N34" s="77">
        <f t="shared" si="15"/>
        <v>0</v>
      </c>
      <c r="O34" s="77">
        <f t="shared" si="15"/>
        <v>0</v>
      </c>
      <c r="P34" s="77">
        <f t="shared" si="15"/>
        <v>0</v>
      </c>
      <c r="Q34" s="77">
        <f t="shared" si="15"/>
        <v>0</v>
      </c>
      <c r="R34" s="77">
        <f t="shared" si="15"/>
        <v>0</v>
      </c>
      <c r="S34" s="77">
        <f t="shared" si="15"/>
        <v>0</v>
      </c>
      <c r="T34" s="77">
        <f t="shared" si="15"/>
        <v>0</v>
      </c>
      <c r="U34" s="77">
        <f t="shared" si="15"/>
        <v>0</v>
      </c>
      <c r="V34" s="77">
        <f t="shared" si="15"/>
        <v>0</v>
      </c>
      <c r="W34" s="77">
        <f t="shared" si="15"/>
        <v>0</v>
      </c>
      <c r="X34" s="77">
        <f t="shared" si="15"/>
        <v>0</v>
      </c>
      <c r="Y34" s="77">
        <f t="shared" si="15"/>
        <v>0</v>
      </c>
      <c r="Z34" s="77">
        <f t="shared" si="15"/>
        <v>0</v>
      </c>
      <c r="AA34" s="77">
        <f t="shared" si="15"/>
        <v>0</v>
      </c>
      <c r="AB34" s="77">
        <f t="shared" si="15"/>
        <v>0</v>
      </c>
      <c r="AC34" s="77">
        <f t="shared" si="15"/>
        <v>0</v>
      </c>
      <c r="AD34" s="77">
        <f t="shared" si="15"/>
        <v>0</v>
      </c>
      <c r="AE34" s="77">
        <f t="shared" si="15"/>
        <v>0</v>
      </c>
      <c r="AF34" s="77">
        <f t="shared" si="15"/>
        <v>0</v>
      </c>
      <c r="AG34" s="77">
        <f t="shared" si="15"/>
        <v>0</v>
      </c>
      <c r="AH34" s="77">
        <f t="shared" si="15"/>
        <v>0</v>
      </c>
      <c r="AI34" s="77">
        <f t="shared" si="15"/>
        <v>0</v>
      </c>
      <c r="AJ34" s="77">
        <f t="shared" si="15"/>
        <v>0</v>
      </c>
      <c r="AK34" s="77">
        <f t="shared" si="15"/>
        <v>0</v>
      </c>
      <c r="AL34" s="77">
        <f t="shared" si="15"/>
        <v>0</v>
      </c>
      <c r="AM34" s="77">
        <f t="shared" si="15"/>
        <v>0</v>
      </c>
      <c r="AN34" s="77">
        <f t="shared" si="15"/>
        <v>0</v>
      </c>
      <c r="AO34" s="77">
        <f t="shared" si="15"/>
        <v>0</v>
      </c>
      <c r="AP34" s="77">
        <f t="shared" si="15"/>
        <v>0</v>
      </c>
      <c r="AQ34" s="77">
        <f t="shared" si="15"/>
        <v>0</v>
      </c>
      <c r="AR34" s="77">
        <f t="shared" si="15"/>
        <v>0</v>
      </c>
      <c r="AS34" s="77">
        <f t="shared" si="15"/>
        <v>0</v>
      </c>
    </row>
    <row r="35" spans="1:45">
      <c r="A35" s="75"/>
      <c r="B35" s="93" t="s">
        <v>115</v>
      </c>
      <c r="C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</row>
    <row r="36" spans="1:45">
      <c r="A36" s="75"/>
      <c r="B36" s="93"/>
      <c r="C36" t="s">
        <v>279</v>
      </c>
      <c r="E36" s="77">
        <f>(($R$57*G11)/1000000)*$I$62</f>
        <v>10.534063591846907</v>
      </c>
      <c r="F36" s="77">
        <f t="shared" ref="F36:AS36" si="16">(($R$57*F11)/1000000)*$I$62</f>
        <v>10.138201905633737</v>
      </c>
      <c r="G36" s="77">
        <f t="shared" si="16"/>
        <v>10.534063591846907</v>
      </c>
      <c r="H36" s="77">
        <f t="shared" si="16"/>
        <v>10.929925278060075</v>
      </c>
      <c r="I36" s="77">
        <f t="shared" si="16"/>
        <v>11.325786964273242</v>
      </c>
      <c r="J36" s="77">
        <f t="shared" si="16"/>
        <v>11.721648650486408</v>
      </c>
      <c r="K36" s="77">
        <f t="shared" si="16"/>
        <v>12.117510336699576</v>
      </c>
      <c r="L36" s="77">
        <f t="shared" si="16"/>
        <v>12.513372022912744</v>
      </c>
      <c r="M36" s="77">
        <f t="shared" si="16"/>
        <v>12.909233709125912</v>
      </c>
      <c r="N36" s="77">
        <f t="shared" si="16"/>
        <v>13.305095395339078</v>
      </c>
      <c r="O36" s="77">
        <f t="shared" si="16"/>
        <v>13.700957081552245</v>
      </c>
      <c r="P36" s="77">
        <f t="shared" si="16"/>
        <v>14.096818767765415</v>
      </c>
      <c r="Q36" s="77">
        <f t="shared" si="16"/>
        <v>14.492680453978583</v>
      </c>
      <c r="R36" s="77">
        <f t="shared" si="16"/>
        <v>14.888542140191749</v>
      </c>
      <c r="S36" s="77">
        <f t="shared" si="16"/>
        <v>15.284403826404917</v>
      </c>
      <c r="T36" s="77">
        <f t="shared" si="16"/>
        <v>15.680265512618085</v>
      </c>
      <c r="U36" s="77">
        <f t="shared" si="16"/>
        <v>16.076127198831252</v>
      </c>
      <c r="V36" s="77">
        <f t="shared" si="16"/>
        <v>16.471988885044418</v>
      </c>
      <c r="W36" s="77">
        <f t="shared" si="16"/>
        <v>16.867850571257588</v>
      </c>
      <c r="X36" s="77">
        <f t="shared" si="16"/>
        <v>17.263712257470754</v>
      </c>
      <c r="Y36" s="77">
        <f t="shared" si="16"/>
        <v>17.659573943683924</v>
      </c>
      <c r="Z36" s="77">
        <f t="shared" si="16"/>
        <v>18.055435629897087</v>
      </c>
      <c r="AA36" s="77">
        <f t="shared" si="16"/>
        <v>18.451297316110253</v>
      </c>
      <c r="AB36" s="77">
        <f t="shared" si="16"/>
        <v>18.847159002323426</v>
      </c>
      <c r="AC36" s="77">
        <f t="shared" si="16"/>
        <v>19.243020688536593</v>
      </c>
      <c r="AD36" s="77">
        <f t="shared" si="16"/>
        <v>19.638882374749763</v>
      </c>
      <c r="AE36" s="77">
        <f t="shared" si="16"/>
        <v>20.00307512606587</v>
      </c>
      <c r="AF36" s="77">
        <f t="shared" si="16"/>
        <v>20.367267877381988</v>
      </c>
      <c r="AG36" s="77">
        <f t="shared" si="16"/>
        <v>20.731460628698102</v>
      </c>
      <c r="AH36" s="77">
        <f t="shared" si="16"/>
        <v>21.09565338001422</v>
      </c>
      <c r="AI36" s="77">
        <f t="shared" si="16"/>
        <v>21.45984613133033</v>
      </c>
      <c r="AJ36" s="77">
        <f t="shared" si="16"/>
        <v>21.824038882646441</v>
      </c>
      <c r="AK36" s="77">
        <f t="shared" si="16"/>
        <v>22.188231633962559</v>
      </c>
      <c r="AL36" s="77">
        <f t="shared" si="16"/>
        <v>22.552424385278673</v>
      </c>
      <c r="AM36" s="77">
        <f t="shared" si="16"/>
        <v>22.916617136594787</v>
      </c>
      <c r="AN36" s="77">
        <f t="shared" si="16"/>
        <v>23.280809887910902</v>
      </c>
      <c r="AO36" s="77">
        <f t="shared" si="16"/>
        <v>23.645002639227016</v>
      </c>
      <c r="AP36" s="77">
        <f t="shared" si="16"/>
        <v>24.00919539054313</v>
      </c>
      <c r="AQ36" s="77">
        <f t="shared" si="16"/>
        <v>24.373388141859241</v>
      </c>
      <c r="AR36" s="77">
        <f t="shared" si="16"/>
        <v>24.737580893175359</v>
      </c>
      <c r="AS36" s="77">
        <f t="shared" si="16"/>
        <v>25.101773644491473</v>
      </c>
    </row>
    <row r="37" spans="1:45">
      <c r="A37" s="75"/>
      <c r="B37" s="93"/>
      <c r="C37" t="s">
        <v>274</v>
      </c>
      <c r="E37" s="77">
        <f>($R$56*G15)/1000000</f>
        <v>0</v>
      </c>
      <c r="F37" s="77">
        <f t="shared" ref="F37:AS37" si="17">($R$56*F15)/1000000</f>
        <v>0</v>
      </c>
      <c r="G37" s="77">
        <f t="shared" si="17"/>
        <v>0</v>
      </c>
      <c r="H37" s="77">
        <f t="shared" si="17"/>
        <v>0</v>
      </c>
      <c r="I37" s="77">
        <f t="shared" si="17"/>
        <v>0</v>
      </c>
      <c r="J37" s="77">
        <f t="shared" si="17"/>
        <v>0</v>
      </c>
      <c r="K37" s="77">
        <f t="shared" si="17"/>
        <v>0</v>
      </c>
      <c r="L37" s="77">
        <f t="shared" si="17"/>
        <v>0</v>
      </c>
      <c r="M37" s="77">
        <f t="shared" si="17"/>
        <v>0</v>
      </c>
      <c r="N37" s="77">
        <f t="shared" si="17"/>
        <v>0</v>
      </c>
      <c r="O37" s="77">
        <f t="shared" si="17"/>
        <v>0</v>
      </c>
      <c r="P37" s="77">
        <f t="shared" si="17"/>
        <v>0</v>
      </c>
      <c r="Q37" s="77">
        <f t="shared" si="17"/>
        <v>0</v>
      </c>
      <c r="R37" s="77">
        <f t="shared" si="17"/>
        <v>0</v>
      </c>
      <c r="S37" s="77">
        <f t="shared" si="17"/>
        <v>0</v>
      </c>
      <c r="T37" s="77">
        <f t="shared" si="17"/>
        <v>0</v>
      </c>
      <c r="U37" s="77">
        <f t="shared" si="17"/>
        <v>0</v>
      </c>
      <c r="V37" s="77">
        <f t="shared" si="17"/>
        <v>0</v>
      </c>
      <c r="W37" s="77">
        <f t="shared" si="17"/>
        <v>0</v>
      </c>
      <c r="X37" s="77">
        <f t="shared" si="17"/>
        <v>0</v>
      </c>
      <c r="Y37" s="77">
        <f t="shared" si="17"/>
        <v>0</v>
      </c>
      <c r="Z37" s="77">
        <f t="shared" si="17"/>
        <v>0</v>
      </c>
      <c r="AA37" s="77">
        <f t="shared" si="17"/>
        <v>0</v>
      </c>
      <c r="AB37" s="77">
        <f t="shared" si="17"/>
        <v>0</v>
      </c>
      <c r="AC37" s="77">
        <f t="shared" si="17"/>
        <v>0</v>
      </c>
      <c r="AD37" s="77">
        <f t="shared" si="17"/>
        <v>0</v>
      </c>
      <c r="AE37" s="77">
        <f t="shared" si="17"/>
        <v>0</v>
      </c>
      <c r="AF37" s="77">
        <f t="shared" si="17"/>
        <v>0</v>
      </c>
      <c r="AG37" s="77">
        <f t="shared" si="17"/>
        <v>0</v>
      </c>
      <c r="AH37" s="77">
        <f t="shared" si="17"/>
        <v>0</v>
      </c>
      <c r="AI37" s="77">
        <f t="shared" si="17"/>
        <v>0</v>
      </c>
      <c r="AJ37" s="77">
        <f t="shared" si="17"/>
        <v>0</v>
      </c>
      <c r="AK37" s="77">
        <f t="shared" si="17"/>
        <v>0</v>
      </c>
      <c r="AL37" s="77">
        <f t="shared" si="17"/>
        <v>0</v>
      </c>
      <c r="AM37" s="77">
        <f t="shared" si="17"/>
        <v>0</v>
      </c>
      <c r="AN37" s="77">
        <f t="shared" si="17"/>
        <v>0</v>
      </c>
      <c r="AO37" s="77">
        <f t="shared" si="17"/>
        <v>0</v>
      </c>
      <c r="AP37" s="77">
        <f t="shared" si="17"/>
        <v>0</v>
      </c>
      <c r="AQ37" s="77">
        <f t="shared" si="17"/>
        <v>0</v>
      </c>
      <c r="AR37" s="77">
        <f t="shared" si="17"/>
        <v>0</v>
      </c>
      <c r="AS37" s="77">
        <f t="shared" si="17"/>
        <v>0</v>
      </c>
    </row>
    <row r="38" spans="1:45">
      <c r="A38"/>
      <c r="B38"/>
      <c r="C38"/>
      <c r="D38"/>
      <c r="E38"/>
      <c r="F38"/>
      <c r="G38"/>
      <c r="H38" s="63"/>
      <c r="I38" s="63"/>
      <c r="J38" s="64"/>
      <c r="K38" s="64"/>
    </row>
    <row r="39" spans="1:45">
      <c r="A39" s="37" t="str">
        <f>"BASELINE (No "&amp;'BCA Summary'!$E$1&amp;") Fatal Crashes"</f>
        <v>BASELINE (No BUILD Grant) Fatal Crashes</v>
      </c>
      <c r="B39" s="37"/>
      <c r="C39" s="38"/>
      <c r="D39" s="38"/>
      <c r="E39" s="81">
        <f>SUM(E19:E20)</f>
        <v>0</v>
      </c>
      <c r="F39" s="81">
        <f t="shared" ref="F39:AQ39" si="18">SUM(F19:F20)</f>
        <v>0</v>
      </c>
      <c r="G39" s="81">
        <f t="shared" si="18"/>
        <v>0</v>
      </c>
      <c r="H39" s="81">
        <f t="shared" si="18"/>
        <v>0</v>
      </c>
      <c r="I39" s="81">
        <f t="shared" si="18"/>
        <v>0</v>
      </c>
      <c r="J39" s="81">
        <f t="shared" si="18"/>
        <v>0</v>
      </c>
      <c r="K39" s="81">
        <f t="shared" si="18"/>
        <v>0</v>
      </c>
      <c r="L39" s="81">
        <f t="shared" si="18"/>
        <v>0</v>
      </c>
      <c r="M39" s="81">
        <f t="shared" si="18"/>
        <v>0</v>
      </c>
      <c r="N39" s="81">
        <f t="shared" si="18"/>
        <v>0</v>
      </c>
      <c r="O39" s="81">
        <f t="shared" si="18"/>
        <v>0</v>
      </c>
      <c r="P39" s="81">
        <f t="shared" si="18"/>
        <v>0</v>
      </c>
      <c r="Q39" s="81">
        <f t="shared" si="18"/>
        <v>0</v>
      </c>
      <c r="R39" s="81">
        <f t="shared" si="18"/>
        <v>0</v>
      </c>
      <c r="S39" s="81">
        <f t="shared" si="18"/>
        <v>0</v>
      </c>
      <c r="T39" s="81">
        <f t="shared" si="18"/>
        <v>0</v>
      </c>
      <c r="U39" s="81">
        <f t="shared" si="18"/>
        <v>0</v>
      </c>
      <c r="V39" s="81">
        <f t="shared" si="18"/>
        <v>0</v>
      </c>
      <c r="W39" s="81">
        <f t="shared" si="18"/>
        <v>0</v>
      </c>
      <c r="X39" s="81">
        <f t="shared" si="18"/>
        <v>0</v>
      </c>
      <c r="Y39" s="81">
        <f t="shared" si="18"/>
        <v>0</v>
      </c>
      <c r="Z39" s="81">
        <f t="shared" si="18"/>
        <v>0</v>
      </c>
      <c r="AA39" s="81">
        <f t="shared" si="18"/>
        <v>0</v>
      </c>
      <c r="AB39" s="81">
        <f t="shared" si="18"/>
        <v>0</v>
      </c>
      <c r="AC39" s="81">
        <f t="shared" si="18"/>
        <v>0</v>
      </c>
      <c r="AD39" s="81">
        <f t="shared" si="18"/>
        <v>0</v>
      </c>
      <c r="AE39" s="81">
        <f t="shared" si="18"/>
        <v>0</v>
      </c>
      <c r="AF39" s="81">
        <f t="shared" si="18"/>
        <v>0</v>
      </c>
      <c r="AG39" s="81">
        <f t="shared" si="18"/>
        <v>0</v>
      </c>
      <c r="AH39" s="81">
        <f t="shared" si="18"/>
        <v>0</v>
      </c>
      <c r="AI39" s="81">
        <f t="shared" si="18"/>
        <v>0</v>
      </c>
      <c r="AJ39" s="81">
        <f t="shared" si="18"/>
        <v>0</v>
      </c>
      <c r="AK39" s="81">
        <f t="shared" si="18"/>
        <v>0</v>
      </c>
      <c r="AL39" s="81">
        <f t="shared" si="18"/>
        <v>0</v>
      </c>
      <c r="AM39" s="81">
        <f t="shared" si="18"/>
        <v>0</v>
      </c>
      <c r="AN39" s="81">
        <f t="shared" si="18"/>
        <v>0</v>
      </c>
      <c r="AO39" s="81">
        <f t="shared" si="18"/>
        <v>0</v>
      </c>
      <c r="AP39" s="81">
        <f t="shared" si="18"/>
        <v>0</v>
      </c>
      <c r="AQ39" s="81">
        <f t="shared" si="18"/>
        <v>0</v>
      </c>
      <c r="AR39" s="81">
        <f t="shared" ref="AR39:AS39" si="19">SUM(AR19:AR20)</f>
        <v>0</v>
      </c>
      <c r="AS39" s="81">
        <f t="shared" si="19"/>
        <v>0</v>
      </c>
    </row>
    <row r="40" spans="1:45">
      <c r="A40" s="26" t="str">
        <f>"PREFERRED (With "&amp;'BCA Summary'!$E$1&amp;") Fatal Crashes"</f>
        <v>PREFERRED (With BUILD Grant) Fatal Crashes</v>
      </c>
      <c r="B40" s="26"/>
      <c r="E40" s="82">
        <f>IF(E7="Yes",SUM(E30:E31),E39)</f>
        <v>0</v>
      </c>
      <c r="F40" s="82">
        <f t="shared" ref="F40:AQ40" si="20">IF(F7="Yes",SUM(F30:F31),F39)</f>
        <v>0</v>
      </c>
      <c r="G40" s="82">
        <f t="shared" si="20"/>
        <v>0</v>
      </c>
      <c r="H40" s="82">
        <f t="shared" si="20"/>
        <v>0</v>
      </c>
      <c r="I40" s="82">
        <f t="shared" si="20"/>
        <v>0</v>
      </c>
      <c r="J40" s="82">
        <f t="shared" si="20"/>
        <v>0</v>
      </c>
      <c r="K40" s="82">
        <f t="shared" si="20"/>
        <v>0</v>
      </c>
      <c r="L40" s="82">
        <f t="shared" si="20"/>
        <v>0</v>
      </c>
      <c r="M40" s="82">
        <f t="shared" si="20"/>
        <v>0</v>
      </c>
      <c r="N40" s="82">
        <f t="shared" si="20"/>
        <v>0</v>
      </c>
      <c r="O40" s="82">
        <f t="shared" si="20"/>
        <v>0</v>
      </c>
      <c r="P40" s="82">
        <f t="shared" si="20"/>
        <v>0</v>
      </c>
      <c r="Q40" s="82">
        <f t="shared" si="20"/>
        <v>0</v>
      </c>
      <c r="R40" s="82">
        <f t="shared" si="20"/>
        <v>0</v>
      </c>
      <c r="S40" s="82">
        <f t="shared" si="20"/>
        <v>0</v>
      </c>
      <c r="T40" s="82">
        <f t="shared" si="20"/>
        <v>0</v>
      </c>
      <c r="U40" s="82">
        <f t="shared" si="20"/>
        <v>0</v>
      </c>
      <c r="V40" s="82">
        <f t="shared" si="20"/>
        <v>0</v>
      </c>
      <c r="W40" s="82">
        <f t="shared" si="20"/>
        <v>0</v>
      </c>
      <c r="X40" s="82">
        <f t="shared" si="20"/>
        <v>0</v>
      </c>
      <c r="Y40" s="82">
        <f t="shared" si="20"/>
        <v>0</v>
      </c>
      <c r="Z40" s="82">
        <f t="shared" si="20"/>
        <v>0</v>
      </c>
      <c r="AA40" s="82">
        <f t="shared" si="20"/>
        <v>0</v>
      </c>
      <c r="AB40" s="82">
        <f t="shared" si="20"/>
        <v>0</v>
      </c>
      <c r="AC40" s="82">
        <f t="shared" si="20"/>
        <v>0</v>
      </c>
      <c r="AD40" s="82">
        <f t="shared" si="20"/>
        <v>0</v>
      </c>
      <c r="AE40" s="82">
        <f t="shared" si="20"/>
        <v>0</v>
      </c>
      <c r="AF40" s="82">
        <f t="shared" si="20"/>
        <v>0</v>
      </c>
      <c r="AG40" s="82">
        <f t="shared" si="20"/>
        <v>0</v>
      </c>
      <c r="AH40" s="82">
        <f t="shared" si="20"/>
        <v>0</v>
      </c>
      <c r="AI40" s="82">
        <f t="shared" si="20"/>
        <v>0</v>
      </c>
      <c r="AJ40" s="82">
        <f t="shared" si="20"/>
        <v>0</v>
      </c>
      <c r="AK40" s="82">
        <f t="shared" si="20"/>
        <v>0</v>
      </c>
      <c r="AL40" s="82">
        <f t="shared" si="20"/>
        <v>0</v>
      </c>
      <c r="AM40" s="82">
        <f t="shared" si="20"/>
        <v>0</v>
      </c>
      <c r="AN40" s="82">
        <f t="shared" si="20"/>
        <v>0</v>
      </c>
      <c r="AO40" s="82">
        <f t="shared" si="20"/>
        <v>0</v>
      </c>
      <c r="AP40" s="82">
        <f t="shared" si="20"/>
        <v>0</v>
      </c>
      <c r="AQ40" s="82">
        <f t="shared" si="20"/>
        <v>0</v>
      </c>
      <c r="AR40" s="82">
        <f t="shared" ref="AR40:AS40" si="21">IF(AR7="Yes",SUM(AR30:AR31),AR39)</f>
        <v>0</v>
      </c>
      <c r="AS40" s="82">
        <f t="shared" si="21"/>
        <v>0</v>
      </c>
    </row>
    <row r="41" spans="1:45">
      <c r="A41" s="39" t="s">
        <v>78</v>
      </c>
      <c r="B41" s="39"/>
      <c r="C41" s="40"/>
      <c r="D41" s="40"/>
      <c r="E41" s="83">
        <f>E39-E40</f>
        <v>0</v>
      </c>
      <c r="F41" s="83">
        <f t="shared" ref="F41:AQ41" si="22">F39-F40</f>
        <v>0</v>
      </c>
      <c r="G41" s="83">
        <f t="shared" si="22"/>
        <v>0</v>
      </c>
      <c r="H41" s="83">
        <f t="shared" si="22"/>
        <v>0</v>
      </c>
      <c r="I41" s="83">
        <f t="shared" si="22"/>
        <v>0</v>
      </c>
      <c r="J41" s="83">
        <f t="shared" si="22"/>
        <v>0</v>
      </c>
      <c r="K41" s="83">
        <f t="shared" si="22"/>
        <v>0</v>
      </c>
      <c r="L41" s="83">
        <f t="shared" si="22"/>
        <v>0</v>
      </c>
      <c r="M41" s="83">
        <f t="shared" si="22"/>
        <v>0</v>
      </c>
      <c r="N41" s="83">
        <f t="shared" si="22"/>
        <v>0</v>
      </c>
      <c r="O41" s="83">
        <f t="shared" si="22"/>
        <v>0</v>
      </c>
      <c r="P41" s="83">
        <f t="shared" si="22"/>
        <v>0</v>
      </c>
      <c r="Q41" s="83">
        <f t="shared" si="22"/>
        <v>0</v>
      </c>
      <c r="R41" s="83">
        <f t="shared" si="22"/>
        <v>0</v>
      </c>
      <c r="S41" s="83">
        <f t="shared" si="22"/>
        <v>0</v>
      </c>
      <c r="T41" s="83">
        <f t="shared" si="22"/>
        <v>0</v>
      </c>
      <c r="U41" s="83">
        <f t="shared" si="22"/>
        <v>0</v>
      </c>
      <c r="V41" s="83">
        <f t="shared" si="22"/>
        <v>0</v>
      </c>
      <c r="W41" s="83">
        <f t="shared" si="22"/>
        <v>0</v>
      </c>
      <c r="X41" s="83">
        <f t="shared" si="22"/>
        <v>0</v>
      </c>
      <c r="Y41" s="83">
        <f t="shared" si="22"/>
        <v>0</v>
      </c>
      <c r="Z41" s="83">
        <f t="shared" si="22"/>
        <v>0</v>
      </c>
      <c r="AA41" s="83">
        <f t="shared" si="22"/>
        <v>0</v>
      </c>
      <c r="AB41" s="83">
        <f t="shared" si="22"/>
        <v>0</v>
      </c>
      <c r="AC41" s="83">
        <f t="shared" si="22"/>
        <v>0</v>
      </c>
      <c r="AD41" s="83">
        <f t="shared" si="22"/>
        <v>0</v>
      </c>
      <c r="AE41" s="83">
        <f t="shared" si="22"/>
        <v>0</v>
      </c>
      <c r="AF41" s="83">
        <f t="shared" si="22"/>
        <v>0</v>
      </c>
      <c r="AG41" s="83">
        <f t="shared" si="22"/>
        <v>0</v>
      </c>
      <c r="AH41" s="83">
        <f t="shared" si="22"/>
        <v>0</v>
      </c>
      <c r="AI41" s="83">
        <f t="shared" si="22"/>
        <v>0</v>
      </c>
      <c r="AJ41" s="83">
        <f t="shared" si="22"/>
        <v>0</v>
      </c>
      <c r="AK41" s="83">
        <f t="shared" si="22"/>
        <v>0</v>
      </c>
      <c r="AL41" s="83">
        <f t="shared" si="22"/>
        <v>0</v>
      </c>
      <c r="AM41" s="83">
        <f t="shared" si="22"/>
        <v>0</v>
      </c>
      <c r="AN41" s="83">
        <f t="shared" si="22"/>
        <v>0</v>
      </c>
      <c r="AO41" s="83">
        <f t="shared" si="22"/>
        <v>0</v>
      </c>
      <c r="AP41" s="83">
        <f t="shared" si="22"/>
        <v>0</v>
      </c>
      <c r="AQ41" s="83">
        <f t="shared" si="22"/>
        <v>0</v>
      </c>
      <c r="AR41" s="83">
        <f t="shared" ref="AR41:AS41" si="23">AR39-AR40</f>
        <v>0</v>
      </c>
      <c r="AS41" s="83">
        <f t="shared" si="23"/>
        <v>0</v>
      </c>
    </row>
    <row r="42" spans="1:45">
      <c r="A42"/>
      <c r="B42"/>
      <c r="C42"/>
      <c r="D42"/>
      <c r="E42" s="90"/>
      <c r="F42" s="90"/>
      <c r="G42"/>
      <c r="H42" s="63"/>
      <c r="I42"/>
      <c r="J42" s="64"/>
      <c r="K42" s="64"/>
    </row>
    <row r="43" spans="1:45">
      <c r="A43" s="37" t="str">
        <f>"BASELINE (No "&amp;'BCA Summary'!$E$1&amp;") Injuries"</f>
        <v>BASELINE (No BUILD Grant) Injuries</v>
      </c>
      <c r="B43" s="37"/>
      <c r="C43" s="38"/>
      <c r="D43" s="38"/>
      <c r="E43" s="81">
        <f>SUM(E22:E23)</f>
        <v>12.476712328767123</v>
      </c>
      <c r="F43" s="81">
        <f t="shared" ref="F43:AQ43" si="24">SUM(F22:F23)</f>
        <v>12.200106976086268</v>
      </c>
      <c r="G43" s="81">
        <f t="shared" si="24"/>
        <v>12.476712328767123</v>
      </c>
      <c r="H43" s="81">
        <f t="shared" si="24"/>
        <v>12.753317681447978</v>
      </c>
      <c r="I43" s="81">
        <f t="shared" si="24"/>
        <v>13.494620026632674</v>
      </c>
      <c r="J43" s="81">
        <f t="shared" si="24"/>
        <v>13.749096951099059</v>
      </c>
      <c r="K43" s="81">
        <f t="shared" si="24"/>
        <v>14.003573875565451</v>
      </c>
      <c r="L43" s="81">
        <f t="shared" si="24"/>
        <v>14.258050800031837</v>
      </c>
      <c r="M43" s="81">
        <f t="shared" si="24"/>
        <v>14.512527724498225</v>
      </c>
      <c r="N43" s="81">
        <f t="shared" si="24"/>
        <v>14.767004648964612</v>
      </c>
      <c r="O43" s="81">
        <f t="shared" si="24"/>
        <v>15.021481573431</v>
      </c>
      <c r="P43" s="81">
        <f t="shared" si="24"/>
        <v>15.275958497897388</v>
      </c>
      <c r="Q43" s="81">
        <f t="shared" si="24"/>
        <v>15.530435422363777</v>
      </c>
      <c r="R43" s="81">
        <f t="shared" si="24"/>
        <v>15.784912346830165</v>
      </c>
      <c r="S43" s="81">
        <f t="shared" si="24"/>
        <v>16.03938927129655</v>
      </c>
      <c r="T43" s="81">
        <f t="shared" si="24"/>
        <v>16.293866195762938</v>
      </c>
      <c r="U43" s="81">
        <f t="shared" si="24"/>
        <v>16.548343120229323</v>
      </c>
      <c r="V43" s="81">
        <f t="shared" si="24"/>
        <v>16.802820044695714</v>
      </c>
      <c r="W43" s="81">
        <f t="shared" si="24"/>
        <v>17.057296969162103</v>
      </c>
      <c r="X43" s="81">
        <f t="shared" si="24"/>
        <v>17.311773893628491</v>
      </c>
      <c r="Y43" s="81">
        <f t="shared" si="24"/>
        <v>17.566250818094879</v>
      </c>
      <c r="Z43" s="81">
        <f t="shared" si="24"/>
        <v>17.820727742561264</v>
      </c>
      <c r="AA43" s="81">
        <f t="shared" si="24"/>
        <v>18.075204667027652</v>
      </c>
      <c r="AB43" s="81">
        <f t="shared" si="24"/>
        <v>18.32968159149404</v>
      </c>
      <c r="AC43" s="81">
        <f t="shared" si="24"/>
        <v>18.584158515960425</v>
      </c>
      <c r="AD43" s="81">
        <f t="shared" si="24"/>
        <v>18.838635440426813</v>
      </c>
      <c r="AE43" s="81">
        <f t="shared" si="24"/>
        <v>19.093112364893202</v>
      </c>
      <c r="AF43" s="81">
        <f t="shared" si="24"/>
        <v>19.34758928935959</v>
      </c>
      <c r="AG43" s="81">
        <f t="shared" si="24"/>
        <v>19.602066213825978</v>
      </c>
      <c r="AH43" s="81">
        <f t="shared" si="24"/>
        <v>19.856543138292366</v>
      </c>
      <c r="AI43" s="81">
        <f t="shared" si="24"/>
        <v>20.111020062758755</v>
      </c>
      <c r="AJ43" s="81">
        <f t="shared" si="24"/>
        <v>20.365496987225143</v>
      </c>
      <c r="AK43" s="81">
        <f t="shared" si="24"/>
        <v>20.619973911691527</v>
      </c>
      <c r="AL43" s="81">
        <f t="shared" si="24"/>
        <v>20.874450836157919</v>
      </c>
      <c r="AM43" s="81">
        <f t="shared" si="24"/>
        <v>21.128927760624304</v>
      </c>
      <c r="AN43" s="81">
        <f t="shared" si="24"/>
        <v>21.383404685090689</v>
      </c>
      <c r="AO43" s="81">
        <f t="shared" si="24"/>
        <v>21.637881609557077</v>
      </c>
      <c r="AP43" s="81">
        <f t="shared" si="24"/>
        <v>21.892358534023465</v>
      </c>
      <c r="AQ43" s="81">
        <f t="shared" si="24"/>
        <v>22.146835458489853</v>
      </c>
      <c r="AR43" s="81">
        <f t="shared" ref="AR43:AS43" si="25">SUM(AR22:AR23)</f>
        <v>22.401312382956242</v>
      </c>
      <c r="AS43" s="81">
        <f t="shared" si="25"/>
        <v>22.65578930742263</v>
      </c>
    </row>
    <row r="44" spans="1:45">
      <c r="A44" s="26" t="str">
        <f>"PREFERRED (With "&amp;'BCA Summary'!$E$1&amp;") Injuries"</f>
        <v>PREFERRED (With BUILD Grant) Injuries</v>
      </c>
      <c r="B44" s="26"/>
      <c r="E44" s="82">
        <f>IF(E7="Yes",SUM(E33:E34),E43)</f>
        <v>12.476712328767123</v>
      </c>
      <c r="F44" s="82">
        <f t="shared" ref="F44:AQ44" si="26">IF(F7="Yes",SUM(F33:F34),F43)</f>
        <v>12.200106976086268</v>
      </c>
      <c r="G44" s="82">
        <f t="shared" si="26"/>
        <v>12.476712328767123</v>
      </c>
      <c r="H44" s="82">
        <f t="shared" si="26"/>
        <v>12.753317681447978</v>
      </c>
      <c r="I44" s="82">
        <f t="shared" si="26"/>
        <v>13.494620026632674</v>
      </c>
      <c r="J44" s="82">
        <f t="shared" si="26"/>
        <v>13.749096951099059</v>
      </c>
      <c r="K44" s="82">
        <f t="shared" si="26"/>
        <v>14.003573875565451</v>
      </c>
      <c r="L44" s="82">
        <f t="shared" si="26"/>
        <v>14.258050800031837</v>
      </c>
      <c r="M44" s="82">
        <f t="shared" si="26"/>
        <v>14.512527724498225</v>
      </c>
      <c r="N44" s="82">
        <f t="shared" si="26"/>
        <v>14.767004648964612</v>
      </c>
      <c r="O44" s="82">
        <f t="shared" si="26"/>
        <v>15.021481573431</v>
      </c>
      <c r="P44" s="82">
        <f t="shared" si="26"/>
        <v>15.275958497897388</v>
      </c>
      <c r="Q44" s="82">
        <f t="shared" si="26"/>
        <v>15.530435422363777</v>
      </c>
      <c r="R44" s="82">
        <f t="shared" si="26"/>
        <v>15.784912346830165</v>
      </c>
      <c r="S44" s="82">
        <f t="shared" si="26"/>
        <v>16.03938927129655</v>
      </c>
      <c r="T44" s="82">
        <f t="shared" si="26"/>
        <v>3.6644502699941386</v>
      </c>
      <c r="U44" s="82">
        <f t="shared" si="26"/>
        <v>3.7569624447246519</v>
      </c>
      <c r="V44" s="82">
        <f t="shared" si="26"/>
        <v>3.8494746194551661</v>
      </c>
      <c r="W44" s="82">
        <f t="shared" si="26"/>
        <v>3.9419867941856803</v>
      </c>
      <c r="X44" s="82">
        <f t="shared" si="26"/>
        <v>4.0344989689161945</v>
      </c>
      <c r="Y44" s="82">
        <f t="shared" si="26"/>
        <v>4.1270111436467083</v>
      </c>
      <c r="Z44" s="82">
        <f t="shared" si="26"/>
        <v>4.2195233183772229</v>
      </c>
      <c r="AA44" s="82">
        <f t="shared" si="26"/>
        <v>4.3120354931077358</v>
      </c>
      <c r="AB44" s="82">
        <f t="shared" si="26"/>
        <v>4.4045476678382505</v>
      </c>
      <c r="AC44" s="82">
        <f t="shared" si="26"/>
        <v>4.4970598425687642</v>
      </c>
      <c r="AD44" s="82">
        <f t="shared" si="26"/>
        <v>4.589572017299278</v>
      </c>
      <c r="AE44" s="82">
        <f t="shared" si="26"/>
        <v>4.6746832180513511</v>
      </c>
      <c r="AF44" s="82">
        <f t="shared" si="26"/>
        <v>4.7597944188034234</v>
      </c>
      <c r="AG44" s="82">
        <f t="shared" si="26"/>
        <v>4.8449056195554974</v>
      </c>
      <c r="AH44" s="82">
        <f t="shared" si="26"/>
        <v>4.9300168203075705</v>
      </c>
      <c r="AI44" s="82">
        <f t="shared" si="26"/>
        <v>5.0151280210596427</v>
      </c>
      <c r="AJ44" s="82">
        <f t="shared" si="26"/>
        <v>5.1002392218117159</v>
      </c>
      <c r="AK44" s="82">
        <f t="shared" si="26"/>
        <v>5.185350422563789</v>
      </c>
      <c r="AL44" s="82">
        <f t="shared" si="26"/>
        <v>5.2704616233158612</v>
      </c>
      <c r="AM44" s="82">
        <f t="shared" si="26"/>
        <v>5.3555728240679343</v>
      </c>
      <c r="AN44" s="82">
        <f t="shared" si="26"/>
        <v>5.4406840248200075</v>
      </c>
      <c r="AO44" s="82">
        <f t="shared" si="26"/>
        <v>5.5257952255720806</v>
      </c>
      <c r="AP44" s="82">
        <f t="shared" si="26"/>
        <v>5.6109064263241528</v>
      </c>
      <c r="AQ44" s="82">
        <f t="shared" si="26"/>
        <v>5.6960176270762259</v>
      </c>
      <c r="AR44" s="82">
        <f t="shared" ref="AR44:AS44" si="27">IF(AR7="Yes",SUM(AR33:AR34),AR43)</f>
        <v>5.7811288278282991</v>
      </c>
      <c r="AS44" s="82">
        <f t="shared" si="27"/>
        <v>5.8662400285803713</v>
      </c>
    </row>
    <row r="45" spans="1:45">
      <c r="A45" s="39" t="s">
        <v>79</v>
      </c>
      <c r="B45" s="39"/>
      <c r="C45" s="40"/>
      <c r="D45" s="40"/>
      <c r="E45" s="83">
        <f>E43-E44</f>
        <v>0</v>
      </c>
      <c r="F45" s="83">
        <f t="shared" ref="F45:AQ45" si="28">F43-F44</f>
        <v>0</v>
      </c>
      <c r="G45" s="83">
        <f t="shared" si="28"/>
        <v>0</v>
      </c>
      <c r="H45" s="83">
        <f t="shared" si="28"/>
        <v>0</v>
      </c>
      <c r="I45" s="83">
        <f t="shared" si="28"/>
        <v>0</v>
      </c>
      <c r="J45" s="83">
        <f t="shared" si="28"/>
        <v>0</v>
      </c>
      <c r="K45" s="83">
        <f t="shared" si="28"/>
        <v>0</v>
      </c>
      <c r="L45" s="83">
        <f t="shared" si="28"/>
        <v>0</v>
      </c>
      <c r="M45" s="83">
        <f t="shared" si="28"/>
        <v>0</v>
      </c>
      <c r="N45" s="83">
        <f t="shared" si="28"/>
        <v>0</v>
      </c>
      <c r="O45" s="83">
        <f t="shared" si="28"/>
        <v>0</v>
      </c>
      <c r="P45" s="83">
        <f t="shared" si="28"/>
        <v>0</v>
      </c>
      <c r="Q45" s="83">
        <f t="shared" si="28"/>
        <v>0</v>
      </c>
      <c r="R45" s="83">
        <f t="shared" si="28"/>
        <v>0</v>
      </c>
      <c r="S45" s="83">
        <f t="shared" si="28"/>
        <v>0</v>
      </c>
      <c r="T45" s="83">
        <f t="shared" si="28"/>
        <v>12.6294159257688</v>
      </c>
      <c r="U45" s="83">
        <f t="shared" si="28"/>
        <v>12.791380675504671</v>
      </c>
      <c r="V45" s="83">
        <f t="shared" si="28"/>
        <v>12.953345425240549</v>
      </c>
      <c r="W45" s="83">
        <f t="shared" si="28"/>
        <v>13.115310174976422</v>
      </c>
      <c r="X45" s="83">
        <f t="shared" si="28"/>
        <v>13.277274924712296</v>
      </c>
      <c r="Y45" s="83">
        <f t="shared" si="28"/>
        <v>13.439239674448171</v>
      </c>
      <c r="Z45" s="83">
        <f t="shared" si="28"/>
        <v>13.60120442418404</v>
      </c>
      <c r="AA45" s="83">
        <f t="shared" si="28"/>
        <v>13.763169173919916</v>
      </c>
      <c r="AB45" s="83">
        <f t="shared" si="28"/>
        <v>13.925133923655789</v>
      </c>
      <c r="AC45" s="83">
        <f t="shared" si="28"/>
        <v>14.087098673391662</v>
      </c>
      <c r="AD45" s="83">
        <f t="shared" si="28"/>
        <v>14.249063423127534</v>
      </c>
      <c r="AE45" s="83">
        <f t="shared" si="28"/>
        <v>14.41842914684185</v>
      </c>
      <c r="AF45" s="83">
        <f t="shared" si="28"/>
        <v>14.587794870556166</v>
      </c>
      <c r="AG45" s="83">
        <f t="shared" si="28"/>
        <v>14.757160594270481</v>
      </c>
      <c r="AH45" s="83">
        <f t="shared" si="28"/>
        <v>14.926526317984795</v>
      </c>
      <c r="AI45" s="83">
        <f t="shared" si="28"/>
        <v>15.095892041699113</v>
      </c>
      <c r="AJ45" s="83">
        <f t="shared" si="28"/>
        <v>15.265257765413427</v>
      </c>
      <c r="AK45" s="83">
        <f t="shared" si="28"/>
        <v>15.434623489127738</v>
      </c>
      <c r="AL45" s="83">
        <f t="shared" si="28"/>
        <v>15.603989212842059</v>
      </c>
      <c r="AM45" s="83">
        <f t="shared" si="28"/>
        <v>15.77335493655637</v>
      </c>
      <c r="AN45" s="83">
        <f t="shared" si="28"/>
        <v>15.94272066027068</v>
      </c>
      <c r="AO45" s="83">
        <f t="shared" si="28"/>
        <v>16.112086383984995</v>
      </c>
      <c r="AP45" s="83">
        <f t="shared" si="28"/>
        <v>16.281452107699312</v>
      </c>
      <c r="AQ45" s="83">
        <f t="shared" si="28"/>
        <v>16.450817831413627</v>
      </c>
      <c r="AR45" s="83">
        <f t="shared" ref="AR45:AS45" si="29">AR43-AR44</f>
        <v>16.620183555127944</v>
      </c>
      <c r="AS45" s="83">
        <f t="shared" si="29"/>
        <v>16.789549278842259</v>
      </c>
    </row>
    <row r="46" spans="1:45">
      <c r="A46"/>
      <c r="B46"/>
      <c r="C46"/>
      <c r="D46"/>
      <c r="E46" s="90"/>
      <c r="F46" s="90"/>
      <c r="G46"/>
      <c r="H46" s="63"/>
      <c r="I46" s="63"/>
      <c r="J46" s="64"/>
      <c r="K46" s="64"/>
    </row>
    <row r="47" spans="1:45">
      <c r="A47" s="37" t="str">
        <f>"BASELINE (No "&amp;'BCA Summary'!$E$1&amp;") PDO Crash Vehicles"</f>
        <v>BASELINE (No BUILD Grant) PDO Crash Vehicles</v>
      </c>
      <c r="B47" s="37"/>
      <c r="C47" s="38"/>
      <c r="D47" s="38"/>
      <c r="E47" s="81">
        <f>SUM(E25:E26)</f>
        <v>53.854207436399207</v>
      </c>
      <c r="F47" s="81">
        <f t="shared" ref="F47:AQ47" si="30">SUM(F25:F26)</f>
        <v>52.791718862037911</v>
      </c>
      <c r="G47" s="81">
        <f t="shared" si="30"/>
        <v>53.854207436399207</v>
      </c>
      <c r="H47" s="81">
        <f t="shared" si="30"/>
        <v>54.916696010760532</v>
      </c>
      <c r="I47" s="81">
        <f t="shared" si="30"/>
        <v>57.764165390048838</v>
      </c>
      <c r="J47" s="81">
        <f t="shared" si="30"/>
        <v>58.741654878461247</v>
      </c>
      <c r="K47" s="81">
        <f t="shared" si="30"/>
        <v>59.71914436687365</v>
      </c>
      <c r="L47" s="81">
        <f t="shared" si="30"/>
        <v>60.696633855286066</v>
      </c>
      <c r="M47" s="81">
        <f t="shared" si="30"/>
        <v>61.674123343698469</v>
      </c>
      <c r="N47" s="81">
        <f t="shared" si="30"/>
        <v>62.651612832110878</v>
      </c>
      <c r="O47" s="81">
        <f t="shared" si="30"/>
        <v>63.629102320523288</v>
      </c>
      <c r="P47" s="81">
        <f t="shared" si="30"/>
        <v>64.60659180893569</v>
      </c>
      <c r="Q47" s="81">
        <f t="shared" si="30"/>
        <v>65.584081297348092</v>
      </c>
      <c r="R47" s="81">
        <f t="shared" si="30"/>
        <v>66.561570785760509</v>
      </c>
      <c r="S47" s="81">
        <f t="shared" si="30"/>
        <v>67.539060274172911</v>
      </c>
      <c r="T47" s="81">
        <f t="shared" si="30"/>
        <v>68.516549762585328</v>
      </c>
      <c r="U47" s="81">
        <f t="shared" si="30"/>
        <v>69.49403925099773</v>
      </c>
      <c r="V47" s="81">
        <f t="shared" si="30"/>
        <v>70.471528739410132</v>
      </c>
      <c r="W47" s="81">
        <f t="shared" si="30"/>
        <v>71.449018227822521</v>
      </c>
      <c r="X47" s="81">
        <f t="shared" si="30"/>
        <v>72.426507716234937</v>
      </c>
      <c r="Y47" s="81">
        <f t="shared" si="30"/>
        <v>73.403997204647339</v>
      </c>
      <c r="Z47" s="81">
        <f t="shared" si="30"/>
        <v>74.381486693059756</v>
      </c>
      <c r="AA47" s="81">
        <f t="shared" si="30"/>
        <v>75.358976181472158</v>
      </c>
      <c r="AB47" s="81">
        <f t="shared" si="30"/>
        <v>76.336465669884561</v>
      </c>
      <c r="AC47" s="81">
        <f t="shared" si="30"/>
        <v>77.313955158296963</v>
      </c>
      <c r="AD47" s="81">
        <f t="shared" si="30"/>
        <v>78.29144464670938</v>
      </c>
      <c r="AE47" s="81">
        <f t="shared" si="30"/>
        <v>79.268934135121782</v>
      </c>
      <c r="AF47" s="81">
        <f t="shared" si="30"/>
        <v>80.246423623534199</v>
      </c>
      <c r="AG47" s="81">
        <f t="shared" si="30"/>
        <v>81.223913111946601</v>
      </c>
      <c r="AH47" s="81">
        <f t="shared" si="30"/>
        <v>82.201402600359003</v>
      </c>
      <c r="AI47" s="81">
        <f t="shared" si="30"/>
        <v>83.17889208877142</v>
      </c>
      <c r="AJ47" s="81">
        <f t="shared" si="30"/>
        <v>84.156381577183822</v>
      </c>
      <c r="AK47" s="81">
        <f t="shared" si="30"/>
        <v>85.133871065596225</v>
      </c>
      <c r="AL47" s="81">
        <f t="shared" si="30"/>
        <v>86.111360554008641</v>
      </c>
      <c r="AM47" s="81">
        <f t="shared" si="30"/>
        <v>87.088850042421029</v>
      </c>
      <c r="AN47" s="81">
        <f t="shared" si="30"/>
        <v>88.066339530833446</v>
      </c>
      <c r="AO47" s="81">
        <f t="shared" si="30"/>
        <v>89.043829019245862</v>
      </c>
      <c r="AP47" s="81">
        <f t="shared" si="30"/>
        <v>90.021318507658265</v>
      </c>
      <c r="AQ47" s="81">
        <f t="shared" si="30"/>
        <v>90.998807996070667</v>
      </c>
      <c r="AR47" s="81">
        <f t="shared" ref="AR47:AS47" si="31">SUM(AR25:AR26)</f>
        <v>91.976297484483069</v>
      </c>
      <c r="AS47" s="81">
        <f t="shared" si="31"/>
        <v>92.953786972895472</v>
      </c>
    </row>
    <row r="48" spans="1:45">
      <c r="A48" s="26" t="str">
        <f>"PREFERRED (With "&amp;'BCA Summary'!$E$1&amp;") PDO Crash Vehicles"</f>
        <v>PREFERRED (With BUILD Grant) PDO Crash Vehicles</v>
      </c>
      <c r="B48" s="26"/>
      <c r="E48" s="82">
        <f>IF(E7="Yes",SUM(E36:E37),E47)</f>
        <v>53.854207436399207</v>
      </c>
      <c r="F48" s="82">
        <f t="shared" ref="F48:AQ48" si="32">IF(F7="Yes",SUM(F36:F37),F47)</f>
        <v>52.791718862037911</v>
      </c>
      <c r="G48" s="82">
        <f t="shared" si="32"/>
        <v>53.854207436399207</v>
      </c>
      <c r="H48" s="82">
        <f t="shared" si="32"/>
        <v>54.916696010760532</v>
      </c>
      <c r="I48" s="82">
        <f t="shared" si="32"/>
        <v>57.764165390048838</v>
      </c>
      <c r="J48" s="82">
        <f t="shared" si="32"/>
        <v>58.741654878461247</v>
      </c>
      <c r="K48" s="82">
        <f t="shared" si="32"/>
        <v>59.71914436687365</v>
      </c>
      <c r="L48" s="82">
        <f t="shared" si="32"/>
        <v>60.696633855286066</v>
      </c>
      <c r="M48" s="82">
        <f t="shared" si="32"/>
        <v>61.674123343698469</v>
      </c>
      <c r="N48" s="82">
        <f t="shared" si="32"/>
        <v>62.651612832110878</v>
      </c>
      <c r="O48" s="82">
        <f t="shared" si="32"/>
        <v>63.629102320523288</v>
      </c>
      <c r="P48" s="82">
        <f t="shared" si="32"/>
        <v>64.60659180893569</v>
      </c>
      <c r="Q48" s="82">
        <f t="shared" si="32"/>
        <v>65.584081297348092</v>
      </c>
      <c r="R48" s="82">
        <f t="shared" si="32"/>
        <v>66.561570785760509</v>
      </c>
      <c r="S48" s="82">
        <f t="shared" si="32"/>
        <v>67.539060274172911</v>
      </c>
      <c r="T48" s="82">
        <f t="shared" si="32"/>
        <v>15.680265512618085</v>
      </c>
      <c r="U48" s="82">
        <f t="shared" si="32"/>
        <v>16.076127198831252</v>
      </c>
      <c r="V48" s="82">
        <f t="shared" si="32"/>
        <v>16.471988885044418</v>
      </c>
      <c r="W48" s="82">
        <f t="shared" si="32"/>
        <v>16.867850571257588</v>
      </c>
      <c r="X48" s="82">
        <f t="shared" si="32"/>
        <v>17.263712257470754</v>
      </c>
      <c r="Y48" s="82">
        <f t="shared" si="32"/>
        <v>17.659573943683924</v>
      </c>
      <c r="Z48" s="82">
        <f t="shared" si="32"/>
        <v>18.055435629897087</v>
      </c>
      <c r="AA48" s="82">
        <f t="shared" si="32"/>
        <v>18.451297316110253</v>
      </c>
      <c r="AB48" s="82">
        <f t="shared" si="32"/>
        <v>18.847159002323426</v>
      </c>
      <c r="AC48" s="82">
        <f t="shared" si="32"/>
        <v>19.243020688536593</v>
      </c>
      <c r="AD48" s="82">
        <f t="shared" si="32"/>
        <v>19.638882374749763</v>
      </c>
      <c r="AE48" s="82">
        <f t="shared" si="32"/>
        <v>20.00307512606587</v>
      </c>
      <c r="AF48" s="82">
        <f t="shared" si="32"/>
        <v>20.367267877381988</v>
      </c>
      <c r="AG48" s="82">
        <f t="shared" si="32"/>
        <v>20.731460628698102</v>
      </c>
      <c r="AH48" s="82">
        <f t="shared" si="32"/>
        <v>21.09565338001422</v>
      </c>
      <c r="AI48" s="82">
        <f t="shared" si="32"/>
        <v>21.45984613133033</v>
      </c>
      <c r="AJ48" s="82">
        <f t="shared" si="32"/>
        <v>21.824038882646441</v>
      </c>
      <c r="AK48" s="82">
        <f t="shared" si="32"/>
        <v>22.188231633962559</v>
      </c>
      <c r="AL48" s="82">
        <f t="shared" si="32"/>
        <v>22.552424385278673</v>
      </c>
      <c r="AM48" s="82">
        <f t="shared" si="32"/>
        <v>22.916617136594787</v>
      </c>
      <c r="AN48" s="82">
        <f t="shared" si="32"/>
        <v>23.280809887910902</v>
      </c>
      <c r="AO48" s="82">
        <f t="shared" si="32"/>
        <v>23.645002639227016</v>
      </c>
      <c r="AP48" s="82">
        <f t="shared" si="32"/>
        <v>24.00919539054313</v>
      </c>
      <c r="AQ48" s="82">
        <f t="shared" si="32"/>
        <v>24.373388141859241</v>
      </c>
      <c r="AR48" s="82">
        <f t="shared" ref="AR48:AS48" si="33">IF(AR7="Yes",SUM(AR36:AR37),AR47)</f>
        <v>24.737580893175359</v>
      </c>
      <c r="AS48" s="82">
        <f t="shared" si="33"/>
        <v>25.101773644491473</v>
      </c>
    </row>
    <row r="49" spans="1:45">
      <c r="A49" s="39" t="s">
        <v>112</v>
      </c>
      <c r="B49" s="39"/>
      <c r="C49" s="40"/>
      <c r="D49" s="40"/>
      <c r="E49" s="83">
        <f>E47-E48</f>
        <v>0</v>
      </c>
      <c r="F49" s="83">
        <f t="shared" ref="F49:AQ49" si="34">F47-F48</f>
        <v>0</v>
      </c>
      <c r="G49" s="83">
        <f t="shared" si="34"/>
        <v>0</v>
      </c>
      <c r="H49" s="83">
        <f t="shared" si="34"/>
        <v>0</v>
      </c>
      <c r="I49" s="83">
        <f t="shared" si="34"/>
        <v>0</v>
      </c>
      <c r="J49" s="83">
        <f t="shared" si="34"/>
        <v>0</v>
      </c>
      <c r="K49" s="83">
        <f t="shared" si="34"/>
        <v>0</v>
      </c>
      <c r="L49" s="83">
        <f t="shared" si="34"/>
        <v>0</v>
      </c>
      <c r="M49" s="83">
        <f t="shared" si="34"/>
        <v>0</v>
      </c>
      <c r="N49" s="83">
        <f t="shared" si="34"/>
        <v>0</v>
      </c>
      <c r="O49" s="83">
        <f t="shared" si="34"/>
        <v>0</v>
      </c>
      <c r="P49" s="83">
        <f t="shared" si="34"/>
        <v>0</v>
      </c>
      <c r="Q49" s="83">
        <f t="shared" si="34"/>
        <v>0</v>
      </c>
      <c r="R49" s="83">
        <f t="shared" si="34"/>
        <v>0</v>
      </c>
      <c r="S49" s="83">
        <f t="shared" si="34"/>
        <v>0</v>
      </c>
      <c r="T49" s="83">
        <f t="shared" si="34"/>
        <v>52.836284249967242</v>
      </c>
      <c r="U49" s="83">
        <f t="shared" si="34"/>
        <v>53.417912052166479</v>
      </c>
      <c r="V49" s="83">
        <f t="shared" si="34"/>
        <v>53.999539854365715</v>
      </c>
      <c r="W49" s="83">
        <f t="shared" si="34"/>
        <v>54.581167656564929</v>
      </c>
      <c r="X49" s="83">
        <f t="shared" si="34"/>
        <v>55.16279545876418</v>
      </c>
      <c r="Y49" s="83">
        <f t="shared" si="34"/>
        <v>55.744423260963416</v>
      </c>
      <c r="Z49" s="83">
        <f t="shared" si="34"/>
        <v>56.326051063162666</v>
      </c>
      <c r="AA49" s="83">
        <f t="shared" si="34"/>
        <v>56.907678865361902</v>
      </c>
      <c r="AB49" s="83">
        <f t="shared" si="34"/>
        <v>57.489306667561138</v>
      </c>
      <c r="AC49" s="83">
        <f t="shared" si="34"/>
        <v>58.070934469760374</v>
      </c>
      <c r="AD49" s="83">
        <f t="shared" si="34"/>
        <v>58.652562271959617</v>
      </c>
      <c r="AE49" s="83">
        <f t="shared" si="34"/>
        <v>59.265859009055916</v>
      </c>
      <c r="AF49" s="83">
        <f t="shared" si="34"/>
        <v>59.879155746152207</v>
      </c>
      <c r="AG49" s="83">
        <f t="shared" si="34"/>
        <v>60.492452483248499</v>
      </c>
      <c r="AH49" s="83">
        <f t="shared" si="34"/>
        <v>61.105749220344784</v>
      </c>
      <c r="AI49" s="83">
        <f t="shared" si="34"/>
        <v>61.719045957441089</v>
      </c>
      <c r="AJ49" s="83">
        <f t="shared" si="34"/>
        <v>62.332342694537381</v>
      </c>
      <c r="AK49" s="83">
        <f t="shared" si="34"/>
        <v>62.945639431633666</v>
      </c>
      <c r="AL49" s="83">
        <f t="shared" si="34"/>
        <v>63.558936168729971</v>
      </c>
      <c r="AM49" s="83">
        <f t="shared" si="34"/>
        <v>64.172232905826235</v>
      </c>
      <c r="AN49" s="83">
        <f t="shared" si="34"/>
        <v>64.78552964292254</v>
      </c>
      <c r="AO49" s="83">
        <f t="shared" si="34"/>
        <v>65.398826380018846</v>
      </c>
      <c r="AP49" s="83">
        <f t="shared" si="34"/>
        <v>66.012123117115138</v>
      </c>
      <c r="AQ49" s="83">
        <f t="shared" si="34"/>
        <v>66.62541985421143</v>
      </c>
      <c r="AR49" s="83">
        <f t="shared" ref="AR49:AS49" si="35">AR47-AR48</f>
        <v>67.238716591307707</v>
      </c>
      <c r="AS49" s="83">
        <f t="shared" si="35"/>
        <v>67.852013328403999</v>
      </c>
    </row>
    <row r="50" spans="1:45">
      <c r="A50" s="23"/>
      <c r="B50" s="23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</row>
    <row r="51" spans="1:45" ht="16" thickBot="1">
      <c r="A51" s="32" t="s">
        <v>27</v>
      </c>
      <c r="B51" s="32"/>
      <c r="C51" s="32"/>
      <c r="D51" s="3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6"/>
      <c r="W51" s="46"/>
    </row>
    <row r="52" spans="1:45">
      <c r="A52" t="s">
        <v>31</v>
      </c>
      <c r="B52"/>
      <c r="E52" s="48">
        <f>'Summary of Benefits'!D168</f>
        <v>345</v>
      </c>
      <c r="F52" t="s">
        <v>32</v>
      </c>
      <c r="G52" t="s">
        <v>411</v>
      </c>
    </row>
    <row r="53" spans="1:45">
      <c r="A53"/>
      <c r="B53"/>
      <c r="E53" s="48"/>
      <c r="F53"/>
      <c r="N53" s="261">
        <v>2024</v>
      </c>
      <c r="O53" s="261"/>
    </row>
    <row r="54" spans="1:45" s="22" customFormat="1" ht="29">
      <c r="A54" s="262"/>
      <c r="B54" s="262"/>
      <c r="C54" s="262"/>
      <c r="D54" s="262"/>
      <c r="E54" s="152" t="s">
        <v>38</v>
      </c>
      <c r="F54" s="62" t="s">
        <v>39</v>
      </c>
      <c r="G54" s="62" t="s">
        <v>40</v>
      </c>
      <c r="H54" s="62" t="s">
        <v>41</v>
      </c>
      <c r="I54" s="62" t="s">
        <v>34</v>
      </c>
      <c r="J54" s="62" t="s">
        <v>35</v>
      </c>
      <c r="K54" s="263" t="s">
        <v>36</v>
      </c>
      <c r="L54" s="263"/>
      <c r="M54" s="62" t="s">
        <v>37</v>
      </c>
      <c r="N54" s="182" t="s">
        <v>62</v>
      </c>
      <c r="O54" s="182" t="s">
        <v>63</v>
      </c>
      <c r="P54" s="62" t="s">
        <v>66</v>
      </c>
      <c r="Q54" s="62" t="s">
        <v>67</v>
      </c>
      <c r="R54" s="62" t="s">
        <v>68</v>
      </c>
      <c r="S54" s="62" t="s">
        <v>113</v>
      </c>
      <c r="T54" s="62"/>
      <c r="Z54" s="61"/>
    </row>
    <row r="55" spans="1:45" ht="13" customHeight="1">
      <c r="A55" s="23"/>
      <c r="B55" t="s">
        <v>64</v>
      </c>
      <c r="E55" s="91">
        <v>0</v>
      </c>
      <c r="F55" s="91">
        <v>0</v>
      </c>
      <c r="G55" s="91">
        <v>10</v>
      </c>
      <c r="H55" s="91">
        <v>14</v>
      </c>
      <c r="I55" s="91">
        <v>57</v>
      </c>
      <c r="J55" s="55">
        <f>E55+G55+I55</f>
        <v>67</v>
      </c>
      <c r="K55" s="264" t="s">
        <v>458</v>
      </c>
      <c r="L55" s="264"/>
      <c r="M55" s="57">
        <v>3</v>
      </c>
      <c r="N55" s="168">
        <v>41800</v>
      </c>
      <c r="O55" s="171">
        <v>14500</v>
      </c>
      <c r="P55" s="61">
        <f>(1000000*F55)/(365*M55*(N55+O55))</f>
        <v>0</v>
      </c>
      <c r="Q55" s="61">
        <f>(1000000*H55)/(365*M55*(N55+O55))</f>
        <v>0.22709392767058403</v>
      </c>
      <c r="R55" s="61">
        <f>(1000000*I55)/(365*M55*(N55+O55))</f>
        <v>0.9245967055159493</v>
      </c>
      <c r="S55" s="139">
        <f>H55/G55</f>
        <v>1.4</v>
      </c>
      <c r="T55" s="1" t="s">
        <v>280</v>
      </c>
      <c r="Z55" s="61"/>
    </row>
    <row r="56" spans="1:45" ht="13" customHeight="1">
      <c r="A56" s="23"/>
      <c r="B56" t="s">
        <v>65</v>
      </c>
      <c r="E56" s="91">
        <v>0</v>
      </c>
      <c r="F56" s="91">
        <v>0</v>
      </c>
      <c r="G56" s="91">
        <v>5</v>
      </c>
      <c r="H56" s="91">
        <v>10</v>
      </c>
      <c r="I56" s="91">
        <v>23</v>
      </c>
      <c r="J56" s="55">
        <f>E56+G56+I56</f>
        <v>28</v>
      </c>
      <c r="K56" s="264" t="s">
        <v>458</v>
      </c>
      <c r="L56" s="264"/>
      <c r="M56" s="57">
        <v>3</v>
      </c>
      <c r="N56" s="168">
        <v>37200</v>
      </c>
      <c r="O56" s="171">
        <v>4100</v>
      </c>
      <c r="P56" s="61">
        <f>(1000000*F56)/(365*M56*(N56+O56))</f>
        <v>0</v>
      </c>
      <c r="Q56" s="61">
        <f>(1000000*H56)/(365*M56*(N56+O56))</f>
        <v>0.22112397315554966</v>
      </c>
      <c r="R56" s="61">
        <f>(1000000*I56)/(365*M56*(N56+O56))</f>
        <v>0.50858513825776419</v>
      </c>
      <c r="S56" s="139">
        <f>H56/G56</f>
        <v>2</v>
      </c>
      <c r="T56" s="1" t="s">
        <v>281</v>
      </c>
      <c r="Z56" s="61"/>
    </row>
    <row r="57" spans="1:45">
      <c r="A57" s="23"/>
      <c r="B57"/>
      <c r="C57" t="s">
        <v>35</v>
      </c>
      <c r="E57" s="88">
        <f>SUM(E55:E56)</f>
        <v>0</v>
      </c>
      <c r="F57" s="88">
        <f t="shared" ref="F57:J57" si="36">SUM(F55:F56)</f>
        <v>0</v>
      </c>
      <c r="G57" s="88">
        <f t="shared" si="36"/>
        <v>15</v>
      </c>
      <c r="H57" s="88">
        <f t="shared" si="36"/>
        <v>24</v>
      </c>
      <c r="I57" s="88">
        <f t="shared" si="36"/>
        <v>80</v>
      </c>
      <c r="J57" s="88">
        <f t="shared" si="36"/>
        <v>95</v>
      </c>
      <c r="K57" s="56"/>
      <c r="L57" s="56"/>
      <c r="M57" s="57"/>
      <c r="N57" s="124"/>
      <c r="O57" s="60"/>
      <c r="P57" s="61">
        <f t="shared" ref="P57:Q57" si="37">AVERAGE(P55:P56)</f>
        <v>0</v>
      </c>
      <c r="Q57" s="61">
        <f t="shared" si="37"/>
        <v>0.22410895041306683</v>
      </c>
      <c r="R57" s="61">
        <f>AVERAGE(R55:R56)</f>
        <v>0.71659092188685669</v>
      </c>
      <c r="S57" s="139">
        <f>H57/G57</f>
        <v>1.6</v>
      </c>
      <c r="T57" t="s">
        <v>119</v>
      </c>
      <c r="Z57" s="61"/>
    </row>
    <row r="58" spans="1:45">
      <c r="A58" s="23"/>
      <c r="B58"/>
      <c r="C58" t="s">
        <v>459</v>
      </c>
      <c r="E58" s="88"/>
      <c r="F58" s="88"/>
      <c r="G58" s="88"/>
      <c r="H58" s="88"/>
      <c r="I58" s="88"/>
      <c r="J58" s="55"/>
      <c r="K58" s="56"/>
      <c r="L58" s="56"/>
      <c r="M58" s="1">
        <v>0</v>
      </c>
      <c r="N58" t="s">
        <v>215</v>
      </c>
      <c r="P58" s="160"/>
      <c r="Q58" s="160"/>
      <c r="R58" s="160"/>
      <c r="S58" s="61"/>
    </row>
    <row r="59" spans="1:45" ht="28">
      <c r="E59" s="110" t="s">
        <v>116</v>
      </c>
      <c r="F59" s="110" t="s">
        <v>117</v>
      </c>
      <c r="G59" s="110" t="s">
        <v>426</v>
      </c>
      <c r="H59" s="22" t="s">
        <v>427</v>
      </c>
      <c r="I59" s="110" t="s">
        <v>118</v>
      </c>
    </row>
    <row r="60" spans="1:45">
      <c r="B60" t="s">
        <v>64</v>
      </c>
      <c r="E60" s="109">
        <v>0</v>
      </c>
      <c r="F60" s="109">
        <v>51</v>
      </c>
      <c r="G60" s="109">
        <v>6</v>
      </c>
      <c r="H60" s="109">
        <v>0</v>
      </c>
      <c r="I60" s="140">
        <f>((E60*1)+(F60*2)+(G60*3)+(H60*4))/SUM(E60:H60)</f>
        <v>2.1052631578947367</v>
      </c>
      <c r="J60" t="s">
        <v>459</v>
      </c>
    </row>
    <row r="61" spans="1:45">
      <c r="A61"/>
      <c r="B61" t="s">
        <v>65</v>
      </c>
      <c r="C61"/>
      <c r="D61"/>
      <c r="E61" s="109">
        <v>0</v>
      </c>
      <c r="F61" s="109">
        <v>22</v>
      </c>
      <c r="G61" s="109">
        <v>6</v>
      </c>
      <c r="H61" s="109">
        <v>0</v>
      </c>
      <c r="I61" s="140">
        <f>((E61*1)+(F61*2)+(G61*3)+(H61*4))/SUM(E61:H61)</f>
        <v>2.2142857142857144</v>
      </c>
      <c r="J61" t="s">
        <v>459</v>
      </c>
      <c r="K61" s="64"/>
      <c r="M61" s="1"/>
      <c r="N61" s="1"/>
      <c r="O61" s="1"/>
      <c r="P61" s="1"/>
      <c r="Q61" s="1"/>
    </row>
    <row r="62" spans="1:45">
      <c r="A62"/>
      <c r="B62"/>
      <c r="C62"/>
      <c r="D62"/>
      <c r="E62">
        <f>SUM(E60:E61)</f>
        <v>0</v>
      </c>
      <c r="F62">
        <f t="shared" ref="F62:H62" si="38">SUM(F60:F61)</f>
        <v>73</v>
      </c>
      <c r="G62">
        <f t="shared" si="38"/>
        <v>12</v>
      </c>
      <c r="H62">
        <f t="shared" si="38"/>
        <v>0</v>
      </c>
      <c r="I62" s="140">
        <f>((E62*1)+(F62*2)+(G62*3)+(H62*4))/SUM(E62:H62)</f>
        <v>2.1411764705882352</v>
      </c>
      <c r="J62" t="s">
        <v>198</v>
      </c>
      <c r="K62" s="64"/>
      <c r="M62" s="1"/>
      <c r="N62" s="1"/>
      <c r="O62" s="1"/>
      <c r="P62" s="1"/>
      <c r="Q62" s="1"/>
    </row>
    <row r="63" spans="1:45">
      <c r="A63"/>
      <c r="B63"/>
      <c r="C63"/>
      <c r="D63"/>
      <c r="E63"/>
      <c r="F63"/>
      <c r="G63"/>
      <c r="H63" s="63"/>
      <c r="I63" s="63"/>
      <c r="J63" s="64"/>
      <c r="K63" s="64"/>
      <c r="M63" s="1"/>
      <c r="N63" s="1"/>
      <c r="O63" s="1"/>
      <c r="P63" s="1"/>
      <c r="Q63" s="1"/>
    </row>
    <row r="64" spans="1:45">
      <c r="A64"/>
      <c r="B64"/>
      <c r="C64"/>
      <c r="D64"/>
      <c r="E64" s="265" t="s">
        <v>428</v>
      </c>
      <c r="F64" s="265"/>
      <c r="G64" s="265" t="s">
        <v>75</v>
      </c>
      <c r="H64" s="265"/>
      <c r="I64" s="265" t="s">
        <v>216</v>
      </c>
      <c r="J64" s="265"/>
      <c r="K64" s="265" t="s">
        <v>76</v>
      </c>
      <c r="L64" s="265"/>
      <c r="M64" s="1"/>
      <c r="N64"/>
      <c r="O64" s="265" t="s">
        <v>429</v>
      </c>
      <c r="P64" s="265"/>
      <c r="Q64" s="265" t="s">
        <v>75</v>
      </c>
      <c r="R64" s="265"/>
      <c r="S64" s="265" t="s">
        <v>216</v>
      </c>
      <c r="T64" s="265"/>
      <c r="U64" s="265" t="s">
        <v>76</v>
      </c>
      <c r="V64" s="265"/>
    </row>
    <row r="65" spans="1:22" ht="14">
      <c r="A65"/>
      <c r="B65"/>
      <c r="C65"/>
      <c r="D65" s="72" t="s">
        <v>64</v>
      </c>
      <c r="E65" s="182" t="s">
        <v>62</v>
      </c>
      <c r="F65" s="182" t="s">
        <v>63</v>
      </c>
      <c r="G65" s="182" t="s">
        <v>62</v>
      </c>
      <c r="H65" s="182" t="s">
        <v>63</v>
      </c>
      <c r="I65" s="182" t="s">
        <v>62</v>
      </c>
      <c r="J65" s="182" t="s">
        <v>63</v>
      </c>
      <c r="K65" s="182" t="s">
        <v>62</v>
      </c>
      <c r="L65" s="182" t="s">
        <v>63</v>
      </c>
      <c r="N65" s="72" t="s">
        <v>65</v>
      </c>
      <c r="O65" s="182" t="s">
        <v>62</v>
      </c>
      <c r="P65" s="182" t="s">
        <v>63</v>
      </c>
      <c r="Q65" s="182" t="s">
        <v>62</v>
      </c>
      <c r="R65" s="182" t="s">
        <v>63</v>
      </c>
      <c r="S65" s="182" t="s">
        <v>62</v>
      </c>
      <c r="T65" s="182" t="s">
        <v>63</v>
      </c>
      <c r="U65" s="182" t="s">
        <v>62</v>
      </c>
      <c r="V65" s="182" t="s">
        <v>63</v>
      </c>
    </row>
    <row r="66" spans="1:22">
      <c r="A66"/>
      <c r="B66"/>
      <c r="C66"/>
      <c r="D66" s="85" t="s">
        <v>73</v>
      </c>
      <c r="E66" s="87">
        <v>6.7469287469287473E-2</v>
      </c>
      <c r="F66" s="87">
        <v>0.13305084745762713</v>
      </c>
      <c r="G66" s="88">
        <v>64509.677419354841</v>
      </c>
      <c r="H66" s="48">
        <v>14355.414012738853</v>
      </c>
      <c r="I66" s="48">
        <v>4683.8709677419356</v>
      </c>
      <c r="J66" s="48">
        <v>11424.20382165605</v>
      </c>
      <c r="K66" s="52">
        <v>15116.129032258066</v>
      </c>
      <c r="L66" s="52">
        <v>19466.242038216558</v>
      </c>
      <c r="M66" s="84"/>
      <c r="N66" s="85" t="s">
        <v>73</v>
      </c>
      <c r="O66" s="87">
        <v>6.0634146341463413E-2</v>
      </c>
      <c r="P66" s="87">
        <v>7.7499999999999999E-2</v>
      </c>
      <c r="Q66" s="88">
        <v>63898.095238095244</v>
      </c>
      <c r="R66" s="48">
        <v>7731.8181818181811</v>
      </c>
      <c r="S66" s="52">
        <v>0</v>
      </c>
      <c r="T66" s="52">
        <v>0</v>
      </c>
      <c r="U66" s="52">
        <v>0</v>
      </c>
      <c r="V66" s="52">
        <v>0</v>
      </c>
    </row>
    <row r="67" spans="1:22">
      <c r="A67"/>
      <c r="B67"/>
      <c r="C67"/>
      <c r="D67" s="85" t="s">
        <v>74</v>
      </c>
      <c r="E67" s="86">
        <v>6.9754299754299753E-2</v>
      </c>
      <c r="F67" s="87">
        <v>0.13813559322033897</v>
      </c>
      <c r="G67" s="88">
        <v>64122.935779816515</v>
      </c>
      <c r="H67" s="48">
        <v>11727.607361963192</v>
      </c>
      <c r="I67" s="48">
        <v>10899.08256880734</v>
      </c>
      <c r="J67" s="48">
        <v>12741.104294478529</v>
      </c>
      <c r="K67" s="52">
        <v>20163.302752293577</v>
      </c>
      <c r="L67" s="52">
        <v>19618.404907975462</v>
      </c>
      <c r="M67" s="84"/>
      <c r="N67" s="85" t="s">
        <v>74</v>
      </c>
      <c r="O67" s="86">
        <v>7.926829268292683E-2</v>
      </c>
      <c r="P67" s="87">
        <v>0.1021875</v>
      </c>
      <c r="Q67" s="88">
        <v>60136.286919831226</v>
      </c>
      <c r="R67" s="48">
        <v>3975</v>
      </c>
      <c r="S67" s="52">
        <v>0</v>
      </c>
      <c r="T67" s="52">
        <v>0</v>
      </c>
      <c r="U67" s="52">
        <v>0</v>
      </c>
      <c r="V67" s="52">
        <v>0</v>
      </c>
    </row>
    <row r="68" spans="1:22" ht="14">
      <c r="A68"/>
      <c r="B68"/>
      <c r="C68"/>
      <c r="D68" s="193" t="s">
        <v>156</v>
      </c>
      <c r="G68" s="88">
        <f>MROUND(AVERAGE(G66:G67),100)</f>
        <v>64300</v>
      </c>
      <c r="H68" s="88">
        <f t="shared" ref="H68:L68" si="39">MROUND(AVERAGE(H66:H67),100)</f>
        <v>13000</v>
      </c>
      <c r="I68" s="88">
        <f t="shared" si="39"/>
        <v>7800</v>
      </c>
      <c r="J68" s="88">
        <f t="shared" si="39"/>
        <v>12100</v>
      </c>
      <c r="K68" s="88">
        <f t="shared" si="39"/>
        <v>17600</v>
      </c>
      <c r="L68" s="88">
        <f t="shared" si="39"/>
        <v>19500</v>
      </c>
      <c r="M68" s="73"/>
      <c r="Q68" s="88">
        <f>MROUND(AVERAGE(Q66:Q67),100)</f>
        <v>62000</v>
      </c>
      <c r="R68" s="88">
        <f t="shared" ref="R68:V68" si="40">MROUND(AVERAGE(R66:R67),100)</f>
        <v>5900</v>
      </c>
      <c r="S68" s="88">
        <f t="shared" si="40"/>
        <v>0</v>
      </c>
      <c r="T68" s="88">
        <f t="shared" si="40"/>
        <v>0</v>
      </c>
      <c r="U68" s="88">
        <f t="shared" si="40"/>
        <v>0</v>
      </c>
      <c r="V68" s="88">
        <f t="shared" si="40"/>
        <v>0</v>
      </c>
    </row>
    <row r="69" spans="1:22">
      <c r="A69" s="23"/>
      <c r="B69" s="23"/>
      <c r="E69" s="52"/>
      <c r="F69" s="88"/>
      <c r="G69" s="88"/>
      <c r="H69" s="88"/>
      <c r="I69" s="53"/>
      <c r="J69" s="88"/>
      <c r="K69" s="124"/>
      <c r="L69" s="124"/>
      <c r="M69" s="57"/>
      <c r="S69" s="1"/>
      <c r="T69" s="62"/>
    </row>
  </sheetData>
  <mergeCells count="13">
    <mergeCell ref="Q64:R64"/>
    <mergeCell ref="S64:T64"/>
    <mergeCell ref="U64:V64"/>
    <mergeCell ref="E64:F64"/>
    <mergeCell ref="G64:H64"/>
    <mergeCell ref="I64:J64"/>
    <mergeCell ref="K64:L64"/>
    <mergeCell ref="O64:P64"/>
    <mergeCell ref="N53:O53"/>
    <mergeCell ref="A54:D54"/>
    <mergeCell ref="K54:L54"/>
    <mergeCell ref="K55:L55"/>
    <mergeCell ref="K56:L56"/>
  </mergeCells>
  <phoneticPr fontId="71" type="noConversion"/>
  <pageMargins left="0.25" right="0.25" top="0.75" bottom="0.75" header="0.3" footer="0.3"/>
  <pageSetup paperSize="17" scale="5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13FE5-B1E9-B641-A53D-CA694FEC33CB}">
  <sheetPr codeName="Sheet6">
    <tabColor theme="6"/>
  </sheetPr>
  <dimension ref="A1:MA108"/>
  <sheetViews>
    <sheetView topLeftCell="A57" zoomScaleNormal="100" workbookViewId="0">
      <selection activeCell="J55" sqref="J55"/>
    </sheetView>
  </sheetViews>
  <sheetFormatPr baseColWidth="10" defaultColWidth="9.19921875" defaultRowHeight="13"/>
  <cols>
    <col min="1" max="1" width="3.3984375" style="1" customWidth="1"/>
    <col min="2" max="2" width="4" style="1" customWidth="1"/>
    <col min="3" max="3" width="10.3984375" style="1" customWidth="1"/>
    <col min="4" max="4" width="50" style="1" customWidth="1"/>
    <col min="5" max="5" width="11.3984375" style="1" customWidth="1"/>
    <col min="6" max="6" width="10" style="22" customWidth="1"/>
    <col min="7" max="7" width="14.796875" style="22" bestFit="1" customWidth="1"/>
    <col min="8" max="8" width="10.59765625" style="22" bestFit="1" customWidth="1"/>
    <col min="9" max="9" width="11.796875" style="22" customWidth="1"/>
    <col min="10" max="10" width="12.796875" style="22" customWidth="1"/>
    <col min="11" max="11" width="11.796875" style="22" customWidth="1"/>
    <col min="12" max="12" width="12.19921875" style="22" customWidth="1"/>
    <col min="13" max="13" width="12.796875" style="22" bestFit="1" customWidth="1"/>
    <col min="14" max="14" width="12.796875" style="22" customWidth="1"/>
    <col min="15" max="15" width="13" style="22" bestFit="1" customWidth="1"/>
    <col min="16" max="17" width="10" style="22" customWidth="1"/>
    <col min="18" max="18" width="11" style="22" bestFit="1" customWidth="1"/>
    <col min="19" max="19" width="10.796875" style="22" bestFit="1" customWidth="1"/>
    <col min="20" max="20" width="11.59765625" style="22" bestFit="1" customWidth="1"/>
    <col min="21" max="21" width="11.3984375" style="22" bestFit="1" customWidth="1"/>
    <col min="22" max="22" width="10" style="22" customWidth="1"/>
    <col min="23" max="23" width="12.19921875" style="22" bestFit="1" customWidth="1"/>
    <col min="24" max="28" width="10" style="22" customWidth="1"/>
    <col min="29" max="29" width="12.59765625" style="22" bestFit="1" customWidth="1"/>
    <col min="30" max="31" width="10" style="22" customWidth="1"/>
    <col min="32" max="32" width="10" style="1" customWidth="1"/>
    <col min="33" max="45" width="10" style="1" bestFit="1" customWidth="1"/>
    <col min="46" max="16384" width="9.19921875" style="1"/>
  </cols>
  <sheetData>
    <row r="1" spans="1:53" ht="20" thickBot="1">
      <c r="A1" s="19" t="s">
        <v>89</v>
      </c>
      <c r="B1" s="19"/>
      <c r="C1" s="19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</row>
    <row r="2" spans="1:53" ht="19" thickTop="1" thickBot="1">
      <c r="A2" s="2" t="str">
        <f>'BCA Summary'!A2</f>
        <v>US 85/120th Avenue Grade-Separation and Interchange Project</v>
      </c>
      <c r="B2" s="2"/>
      <c r="C2" s="17"/>
      <c r="D2" s="17"/>
      <c r="E2" s="17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</row>
    <row r="3" spans="1:53" ht="14" thickTop="1">
      <c r="A3" s="23"/>
      <c r="B3" s="23"/>
      <c r="C3" s="23"/>
      <c r="D3" s="23"/>
      <c r="E3" s="23"/>
    </row>
    <row r="4" spans="1:53" s="18" customFormat="1" ht="17">
      <c r="A4" s="24"/>
      <c r="B4" s="24"/>
      <c r="C4" s="24"/>
      <c r="D4" s="24"/>
      <c r="E4" s="24"/>
      <c r="F4" s="150">
        <f>'Summary of Benefits'!E4</f>
        <v>2015</v>
      </c>
      <c r="G4" s="150">
        <f>'Summary of Benefits'!F4</f>
        <v>2016</v>
      </c>
      <c r="H4" s="150">
        <f>'Summary of Benefits'!G4</f>
        <v>2017</v>
      </c>
      <c r="I4" s="150">
        <f>'Summary of Benefits'!H4</f>
        <v>2018</v>
      </c>
      <c r="J4" s="150">
        <f>'Summary of Benefits'!I4</f>
        <v>2019</v>
      </c>
      <c r="K4" s="150">
        <f>'Summary of Benefits'!J4</f>
        <v>2020</v>
      </c>
      <c r="L4" s="150">
        <f>'Summary of Benefits'!K4</f>
        <v>2021</v>
      </c>
      <c r="M4" s="150">
        <f>'Summary of Benefits'!L4</f>
        <v>2022</v>
      </c>
      <c r="N4" s="150">
        <f>'Summary of Benefits'!M4</f>
        <v>2023</v>
      </c>
      <c r="O4" s="150">
        <f>'Summary of Benefits'!N4</f>
        <v>2024</v>
      </c>
      <c r="P4" s="150">
        <f>'Summary of Benefits'!O4</f>
        <v>2025</v>
      </c>
      <c r="Q4" s="150">
        <f>'Summary of Benefits'!P4</f>
        <v>2026</v>
      </c>
      <c r="R4" s="150">
        <f>'Summary of Benefits'!Q4</f>
        <v>2027</v>
      </c>
      <c r="S4" s="150">
        <f>'Summary of Benefits'!R4</f>
        <v>2028</v>
      </c>
      <c r="T4" s="150">
        <f>'Summary of Benefits'!S4</f>
        <v>2029</v>
      </c>
      <c r="U4" s="150">
        <f>'Summary of Benefits'!T4</f>
        <v>2030</v>
      </c>
      <c r="V4" s="150">
        <f>'Summary of Benefits'!U4</f>
        <v>2031</v>
      </c>
      <c r="W4" s="150">
        <f>'Summary of Benefits'!V4</f>
        <v>2032</v>
      </c>
      <c r="X4" s="150">
        <f>'Summary of Benefits'!W4</f>
        <v>2033</v>
      </c>
      <c r="Y4" s="150">
        <f>'Summary of Benefits'!X4</f>
        <v>2034</v>
      </c>
      <c r="Z4" s="150">
        <f>'Summary of Benefits'!Y4</f>
        <v>2035</v>
      </c>
      <c r="AA4" s="150">
        <f>'Summary of Benefits'!Z4</f>
        <v>2036</v>
      </c>
      <c r="AB4" s="150">
        <f>'Summary of Benefits'!AA4</f>
        <v>2037</v>
      </c>
      <c r="AC4" s="150">
        <f>'Summary of Benefits'!AB4</f>
        <v>2038</v>
      </c>
      <c r="AD4" s="150">
        <f>'Summary of Benefits'!AC4</f>
        <v>2039</v>
      </c>
      <c r="AE4" s="150">
        <f>'Summary of Benefits'!AD4</f>
        <v>2040</v>
      </c>
      <c r="AF4" s="150">
        <f>'Summary of Benefits'!AE4</f>
        <v>2041</v>
      </c>
      <c r="AG4" s="150">
        <f>'Summary of Benefits'!AF4</f>
        <v>2042</v>
      </c>
      <c r="AH4" s="150">
        <f>'Summary of Benefits'!AG4</f>
        <v>2043</v>
      </c>
      <c r="AI4" s="150">
        <f>'Summary of Benefits'!AH4</f>
        <v>2044</v>
      </c>
      <c r="AJ4" s="150">
        <f>'Summary of Benefits'!AI4</f>
        <v>2045</v>
      </c>
      <c r="AK4" s="150">
        <f>'Summary of Benefits'!AJ4</f>
        <v>2046</v>
      </c>
      <c r="AL4" s="150">
        <f>'Summary of Benefits'!AK4</f>
        <v>2047</v>
      </c>
      <c r="AM4" s="150">
        <f>'Summary of Benefits'!AL4</f>
        <v>2048</v>
      </c>
      <c r="AN4" s="150">
        <f>'Summary of Benefits'!AM4</f>
        <v>2049</v>
      </c>
      <c r="AO4" s="150">
        <f>'Summary of Benefits'!AN4</f>
        <v>2050</v>
      </c>
      <c r="AP4" s="150">
        <f>'Summary of Benefits'!AO4</f>
        <v>2051</v>
      </c>
      <c r="AQ4" s="150">
        <f>'Summary of Benefits'!AP4</f>
        <v>2052</v>
      </c>
      <c r="AR4" s="150">
        <f>'Summary of Benefits'!AQ4</f>
        <v>2053</v>
      </c>
      <c r="AS4" s="150">
        <f>'Summary of Benefits'!AR4</f>
        <v>2054</v>
      </c>
      <c r="AT4" s="150">
        <f>'Summary of Benefits'!AS4</f>
        <v>2055</v>
      </c>
    </row>
    <row r="5" spans="1:53" ht="16" thickBot="1">
      <c r="A5" s="32" t="str">
        <f>'Timeline &amp; Costs'!A11</f>
        <v>US 85/120th Avenue Grade-Separation and Interchange Project</v>
      </c>
      <c r="B5" s="32"/>
      <c r="C5" s="32"/>
      <c r="D5" s="32"/>
      <c r="E5" s="32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</row>
    <row r="6" spans="1:53">
      <c r="B6" s="153" t="str">
        <f>"Baseline (No "&amp;'BCA Summary'!E1&amp;" Grant) Benefits"</f>
        <v>Baseline (No BUILD Grant Grant) Benefits</v>
      </c>
      <c r="D6" s="34"/>
      <c r="E6" s="34"/>
      <c r="F6" s="35" t="str">
        <f>'Timeline &amp; Costs'!E$8</f>
        <v>No</v>
      </c>
      <c r="G6" s="35" t="str">
        <f>'Timeline &amp; Costs'!F$8</f>
        <v>No</v>
      </c>
      <c r="H6" s="35" t="str">
        <f>'Timeline &amp; Costs'!G$8</f>
        <v>No</v>
      </c>
      <c r="I6" s="35" t="str">
        <f>'Timeline &amp; Costs'!H$8</f>
        <v>No</v>
      </c>
      <c r="J6" s="35" t="str">
        <f>'Timeline &amp; Costs'!I$8</f>
        <v>No</v>
      </c>
      <c r="K6" s="35" t="str">
        <f>'Timeline &amp; Costs'!J$8</f>
        <v>No</v>
      </c>
      <c r="L6" s="35" t="str">
        <f>'Timeline &amp; Costs'!K$8</f>
        <v>No</v>
      </c>
      <c r="M6" s="35" t="str">
        <f>'Timeline &amp; Costs'!L$8</f>
        <v>No</v>
      </c>
      <c r="N6" s="35" t="str">
        <f>'Timeline &amp; Costs'!M$8</f>
        <v>No</v>
      </c>
      <c r="O6" s="35" t="str">
        <f>'Timeline &amp; Costs'!N$8</f>
        <v>No</v>
      </c>
      <c r="P6" s="35" t="str">
        <f>'Timeline &amp; Costs'!O$8</f>
        <v>No</v>
      </c>
      <c r="Q6" s="35" t="str">
        <f>'Timeline &amp; Costs'!P$8</f>
        <v>No</v>
      </c>
      <c r="R6" s="35" t="str">
        <f>'Timeline &amp; Costs'!Q$8</f>
        <v>No</v>
      </c>
      <c r="S6" s="35" t="str">
        <f>'Timeline &amp; Costs'!R$8</f>
        <v>No</v>
      </c>
      <c r="T6" s="35" t="str">
        <f>'Timeline &amp; Costs'!S$8</f>
        <v>No</v>
      </c>
      <c r="U6" s="35" t="str">
        <f>'Timeline &amp; Costs'!T$8</f>
        <v>No</v>
      </c>
      <c r="V6" s="35" t="str">
        <f>'Timeline &amp; Costs'!U$8</f>
        <v>No</v>
      </c>
      <c r="W6" s="35" t="str">
        <f>'Timeline &amp; Costs'!V$8</f>
        <v>No</v>
      </c>
      <c r="X6" s="35" t="str">
        <f>'Timeline &amp; Costs'!W$8</f>
        <v>No</v>
      </c>
      <c r="Y6" s="35" t="str">
        <f>'Timeline &amp; Costs'!X$8</f>
        <v>No</v>
      </c>
      <c r="Z6" s="35" t="str">
        <f>'Timeline &amp; Costs'!Y$8</f>
        <v>No</v>
      </c>
      <c r="AA6" s="35" t="str">
        <f>'Timeline &amp; Costs'!Z$8</f>
        <v>No</v>
      </c>
      <c r="AB6" s="35" t="str">
        <f>'Timeline &amp; Costs'!AA$8</f>
        <v>No</v>
      </c>
      <c r="AC6" s="35" t="str">
        <f>'Timeline &amp; Costs'!AB$8</f>
        <v>No</v>
      </c>
      <c r="AD6" s="35" t="str">
        <f>'Timeline &amp; Costs'!AC$8</f>
        <v>No</v>
      </c>
      <c r="AE6" s="35" t="str">
        <f>'Timeline &amp; Costs'!AD$8</f>
        <v>No</v>
      </c>
      <c r="AF6" s="35" t="str">
        <f>'Timeline &amp; Costs'!AE$8</f>
        <v>No</v>
      </c>
      <c r="AG6" s="35" t="str">
        <f>'Timeline &amp; Costs'!AF$8</f>
        <v>No</v>
      </c>
      <c r="AH6" s="35" t="str">
        <f>'Timeline &amp; Costs'!AG$8</f>
        <v>No</v>
      </c>
      <c r="AI6" s="35" t="str">
        <f>'Timeline &amp; Costs'!AH$8</f>
        <v>No</v>
      </c>
      <c r="AJ6" s="35" t="str">
        <f>'Timeline &amp; Costs'!AI$8</f>
        <v>No</v>
      </c>
      <c r="AK6" s="35" t="str">
        <f>'Timeline &amp; Costs'!AJ$8</f>
        <v>No</v>
      </c>
      <c r="AL6" s="35" t="str">
        <f>'Timeline &amp; Costs'!AK$8</f>
        <v>No</v>
      </c>
      <c r="AM6" s="35" t="str">
        <f>'Timeline &amp; Costs'!AL$8</f>
        <v>No</v>
      </c>
      <c r="AN6" s="35" t="str">
        <f>'Timeline &amp; Costs'!AM$8</f>
        <v>No</v>
      </c>
      <c r="AO6" s="35" t="str">
        <f>'Timeline &amp; Costs'!AN$8</f>
        <v>No</v>
      </c>
      <c r="AP6" s="35" t="str">
        <f>'Timeline &amp; Costs'!AO$8</f>
        <v>No</v>
      </c>
      <c r="AQ6" s="35" t="str">
        <f>'Timeline &amp; Costs'!AP$8</f>
        <v>No</v>
      </c>
      <c r="AR6" s="35" t="str">
        <f>'Timeline &amp; Costs'!AQ$8</f>
        <v>No</v>
      </c>
      <c r="AS6" s="35" t="str">
        <f>'Timeline &amp; Costs'!AR$8</f>
        <v>No</v>
      </c>
      <c r="AT6" s="35" t="str">
        <f>'Timeline &amp; Costs'!AS$8</f>
        <v>No</v>
      </c>
    </row>
    <row r="7" spans="1:53">
      <c r="B7" s="36" t="str">
        <f>"Preferred (With "&amp;'BCA Summary'!E1&amp;" Grant) Benefits*"</f>
        <v>Preferred (With BUILD Grant Grant) Benefits*</v>
      </c>
      <c r="D7" s="34"/>
      <c r="E7" s="34"/>
      <c r="F7" s="35">
        <f>'Timeline &amp; Costs'!E17</f>
        <v>0</v>
      </c>
      <c r="G7" s="35">
        <f>'Timeline &amp; Costs'!F17</f>
        <v>0</v>
      </c>
      <c r="H7" s="35">
        <f>'Timeline &amp; Costs'!G17</f>
        <v>0</v>
      </c>
      <c r="I7" s="35" t="str">
        <f>'Timeline &amp; Costs'!H17</f>
        <v>No</v>
      </c>
      <c r="J7" s="35" t="str">
        <f>'Timeline &amp; Costs'!I17</f>
        <v>No</v>
      </c>
      <c r="K7" s="35" t="str">
        <f>'Timeline &amp; Costs'!J17</f>
        <v>No</v>
      </c>
      <c r="L7" s="35" t="str">
        <f>'Timeline &amp; Costs'!K17</f>
        <v>No</v>
      </c>
      <c r="M7" s="35" t="str">
        <f>'Timeline &amp; Costs'!L17</f>
        <v>No</v>
      </c>
      <c r="N7" s="35" t="str">
        <f>'Timeline &amp; Costs'!M17</f>
        <v>No</v>
      </c>
      <c r="O7" s="35" t="str">
        <f>'Timeline &amp; Costs'!N17</f>
        <v>No</v>
      </c>
      <c r="P7" s="35" t="str">
        <f>'Timeline &amp; Costs'!O17</f>
        <v>No</v>
      </c>
      <c r="Q7" s="35" t="str">
        <f>'Timeline &amp; Costs'!P17</f>
        <v>No</v>
      </c>
      <c r="R7" s="35" t="str">
        <f>'Timeline &amp; Costs'!Q17</f>
        <v>No</v>
      </c>
      <c r="S7" s="35" t="str">
        <f>'Timeline &amp; Costs'!R17</f>
        <v>No</v>
      </c>
      <c r="T7" s="35" t="str">
        <f>'Timeline &amp; Costs'!S17</f>
        <v>No</v>
      </c>
      <c r="U7" s="35" t="str">
        <f>'Timeline &amp; Costs'!T17</f>
        <v>Yes</v>
      </c>
      <c r="V7" s="35" t="str">
        <f>'Timeline &amp; Costs'!U17</f>
        <v>Yes</v>
      </c>
      <c r="W7" s="35" t="str">
        <f>'Timeline &amp; Costs'!V17</f>
        <v>Yes</v>
      </c>
      <c r="X7" s="35" t="str">
        <f>'Timeline &amp; Costs'!W17</f>
        <v>Yes</v>
      </c>
      <c r="Y7" s="35" t="str">
        <f>'Timeline &amp; Costs'!X17</f>
        <v>Yes</v>
      </c>
      <c r="Z7" s="35" t="str">
        <f>'Timeline &amp; Costs'!Y17</f>
        <v>Yes</v>
      </c>
      <c r="AA7" s="35" t="str">
        <f>'Timeline &amp; Costs'!Z17</f>
        <v>Yes</v>
      </c>
      <c r="AB7" s="35" t="str">
        <f>'Timeline &amp; Costs'!AA17</f>
        <v>Yes</v>
      </c>
      <c r="AC7" s="35" t="str">
        <f>'Timeline &amp; Costs'!AB17</f>
        <v>Yes</v>
      </c>
      <c r="AD7" s="35" t="str">
        <f>'Timeline &amp; Costs'!AC17</f>
        <v>Yes</v>
      </c>
      <c r="AE7" s="35" t="str">
        <f>'Timeline &amp; Costs'!AD17</f>
        <v>Yes</v>
      </c>
      <c r="AF7" s="35" t="str">
        <f>'Timeline &amp; Costs'!AE17</f>
        <v>Yes</v>
      </c>
      <c r="AG7" s="35" t="str">
        <f>'Timeline &amp; Costs'!AF17</f>
        <v>Yes</v>
      </c>
      <c r="AH7" s="35" t="str">
        <f>'Timeline &amp; Costs'!AG17</f>
        <v>Yes</v>
      </c>
      <c r="AI7" s="35" t="str">
        <f>'Timeline &amp; Costs'!AH17</f>
        <v>Yes</v>
      </c>
      <c r="AJ7" s="35" t="str">
        <f>'Timeline &amp; Costs'!AI17</f>
        <v>Yes</v>
      </c>
      <c r="AK7" s="35" t="str">
        <f>'Timeline &amp; Costs'!AJ17</f>
        <v>Yes</v>
      </c>
      <c r="AL7" s="35" t="str">
        <f>'Timeline &amp; Costs'!AK17</f>
        <v>Yes</v>
      </c>
      <c r="AM7" s="35" t="str">
        <f>'Timeline &amp; Costs'!AL17</f>
        <v>Yes</v>
      </c>
      <c r="AN7" s="35" t="str">
        <f>'Timeline &amp; Costs'!AM17</f>
        <v>Yes</v>
      </c>
      <c r="AO7" s="35" t="str">
        <f>'Timeline &amp; Costs'!AN17</f>
        <v>Yes</v>
      </c>
      <c r="AP7" s="35" t="str">
        <f>'Timeline &amp; Costs'!AO17</f>
        <v>Yes</v>
      </c>
      <c r="AQ7" s="35" t="str">
        <f>'Timeline &amp; Costs'!AP17</f>
        <v>Yes</v>
      </c>
      <c r="AR7" s="35" t="str">
        <f>'Timeline &amp; Costs'!AQ17</f>
        <v>Yes</v>
      </c>
      <c r="AS7" s="35" t="str">
        <f>'Timeline &amp; Costs'!AR17</f>
        <v>Yes</v>
      </c>
      <c r="AT7" s="35" t="str">
        <f>'Timeline &amp; Costs'!AS17</f>
        <v>Yes</v>
      </c>
    </row>
    <row r="8" spans="1:53">
      <c r="C8" s="36"/>
      <c r="D8" s="34"/>
      <c r="E8" s="34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</row>
    <row r="9" spans="1:53" ht="16" thickBot="1">
      <c r="A9" s="32" t="str">
        <f>C12&amp;" Rail Crossing &amp; "&amp;C13&amp;" Rail Crossing"</f>
        <v>120th Avenue Interchange Rail Crossing &amp; 124th Avenue Intersection Rail Crossing</v>
      </c>
      <c r="B9" s="32"/>
      <c r="C9" s="32"/>
      <c r="D9" s="32"/>
      <c r="E9" s="32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</row>
    <row r="10" spans="1:53">
      <c r="A10" s="154" t="str">
        <f>"BASELINE (No "&amp;'BCA Summary'!E1&amp;" Grant)"</f>
        <v>BASELINE (No BUILD Grant Grant)</v>
      </c>
      <c r="B10" s="75"/>
      <c r="C10" s="75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</row>
    <row r="11" spans="1:53">
      <c r="A11" s="75"/>
      <c r="B11" s="93" t="s">
        <v>38</v>
      </c>
      <c r="C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</row>
    <row r="12" spans="1:53">
      <c r="A12" s="75"/>
      <c r="B12" s="93"/>
      <c r="C12" t="s">
        <v>279</v>
      </c>
      <c r="F12" s="223">
        <f>F66*F71</f>
        <v>5.5257558617498106E-3</v>
      </c>
      <c r="G12" s="223">
        <f t="shared" ref="G12:AS12" si="0">G66*G71</f>
        <v>5.5257558617498106E-3</v>
      </c>
      <c r="H12" s="223">
        <f t="shared" si="0"/>
        <v>5.5907647542409854E-3</v>
      </c>
      <c r="I12" s="223">
        <f t="shared" si="0"/>
        <v>5.6557736467321594E-3</v>
      </c>
      <c r="J12" s="223">
        <f t="shared" si="0"/>
        <v>5.6557736467321594E-3</v>
      </c>
      <c r="K12" s="223">
        <f t="shared" si="0"/>
        <v>5.7207825392233342E-3</v>
      </c>
      <c r="L12" s="223">
        <f t="shared" si="0"/>
        <v>5.7207825392233342E-3</v>
      </c>
      <c r="M12" s="223">
        <f t="shared" si="0"/>
        <v>5.7727896532162731E-3</v>
      </c>
      <c r="N12" s="223">
        <f t="shared" si="0"/>
        <v>5.7727896532162731E-3</v>
      </c>
      <c r="O12" s="223">
        <f t="shared" si="0"/>
        <v>5.8247967672092121E-3</v>
      </c>
      <c r="P12" s="223">
        <f t="shared" si="0"/>
        <v>5.8247967672092121E-3</v>
      </c>
      <c r="Q12" s="223">
        <f t="shared" si="0"/>
        <v>5.8768038812021519E-3</v>
      </c>
      <c r="R12" s="223">
        <f t="shared" si="0"/>
        <v>5.8768038812021519E-3</v>
      </c>
      <c r="S12" s="223">
        <f t="shared" si="0"/>
        <v>5.9288109951950909E-3</v>
      </c>
      <c r="T12" s="223">
        <f t="shared" si="0"/>
        <v>5.9288109951950909E-3</v>
      </c>
      <c r="U12" s="223">
        <f t="shared" si="0"/>
        <v>5.9288109951950909E-3</v>
      </c>
      <c r="V12" s="223">
        <f t="shared" si="0"/>
        <v>5.9808181091880307E-3</v>
      </c>
      <c r="W12" s="223">
        <f t="shared" si="0"/>
        <v>5.9808181091880307E-3</v>
      </c>
      <c r="X12" s="223">
        <f t="shared" si="0"/>
        <v>6.0328252231809706E-3</v>
      </c>
      <c r="Y12" s="223">
        <f t="shared" si="0"/>
        <v>6.0328252231809706E-3</v>
      </c>
      <c r="Z12" s="223">
        <f t="shared" si="0"/>
        <v>6.0848323371739104E-3</v>
      </c>
      <c r="AA12" s="223">
        <f t="shared" si="0"/>
        <v>6.0848323371739104E-3</v>
      </c>
      <c r="AB12" s="223">
        <f t="shared" si="0"/>
        <v>6.0848323371739104E-3</v>
      </c>
      <c r="AC12" s="223">
        <f t="shared" si="0"/>
        <v>6.1368394511668494E-3</v>
      </c>
      <c r="AD12" s="223">
        <f t="shared" si="0"/>
        <v>6.1368394511668494E-3</v>
      </c>
      <c r="AE12" s="223">
        <f t="shared" si="0"/>
        <v>6.1888465651597892E-3</v>
      </c>
      <c r="AF12" s="223">
        <f t="shared" si="0"/>
        <v>6.1888465651597892E-3</v>
      </c>
      <c r="AG12" s="223">
        <f t="shared" si="0"/>
        <v>6.1888465651597892E-3</v>
      </c>
      <c r="AH12" s="223">
        <f t="shared" si="0"/>
        <v>6.2408536791527282E-3</v>
      </c>
      <c r="AI12" s="223">
        <f t="shared" si="0"/>
        <v>6.2408536791527282E-3</v>
      </c>
      <c r="AJ12" s="223">
        <f t="shared" si="0"/>
        <v>6.305862571643903E-3</v>
      </c>
      <c r="AK12" s="223">
        <f t="shared" si="0"/>
        <v>6.305862571643903E-3</v>
      </c>
      <c r="AL12" s="223">
        <f t="shared" si="0"/>
        <v>6.305862571643903E-3</v>
      </c>
      <c r="AM12" s="223">
        <f t="shared" si="0"/>
        <v>6.3708714641350769E-3</v>
      </c>
      <c r="AN12" s="223">
        <f t="shared" si="0"/>
        <v>6.3708714641350769E-3</v>
      </c>
      <c r="AO12" s="223">
        <f t="shared" si="0"/>
        <v>6.3708714641350769E-3</v>
      </c>
      <c r="AP12" s="223">
        <f t="shared" si="0"/>
        <v>6.4358803566262517E-3</v>
      </c>
      <c r="AQ12" s="223">
        <f t="shared" si="0"/>
        <v>6.4358803566262517E-3</v>
      </c>
      <c r="AR12" s="223">
        <f t="shared" si="0"/>
        <v>6.5008892491174256E-3</v>
      </c>
      <c r="AS12" s="223">
        <f t="shared" si="0"/>
        <v>6.5008892491174256E-3</v>
      </c>
      <c r="AT12" s="223">
        <f t="shared" ref="AT12" si="1">AT66*AT71</f>
        <v>6.5008892491174256E-3</v>
      </c>
    </row>
    <row r="13" spans="1:53">
      <c r="A13" s="75"/>
      <c r="B13" s="93"/>
      <c r="C13" t="s">
        <v>274</v>
      </c>
      <c r="F13" s="223">
        <f>F90*F95</f>
        <v>2.0282774457246367E-3</v>
      </c>
      <c r="G13" s="223">
        <f t="shared" ref="G13:AS13" si="2">G90*G95</f>
        <v>2.0282774457246367E-3</v>
      </c>
      <c r="H13" s="223">
        <f t="shared" si="2"/>
        <v>2.1062881167140455E-3</v>
      </c>
      <c r="I13" s="223">
        <f t="shared" si="2"/>
        <v>2.1062881167140455E-3</v>
      </c>
      <c r="J13" s="223">
        <f t="shared" si="2"/>
        <v>2.1062881167140455E-3</v>
      </c>
      <c r="K13" s="223">
        <f t="shared" si="2"/>
        <v>2.1062881167140455E-3</v>
      </c>
      <c r="L13" s="223">
        <f t="shared" si="2"/>
        <v>2.1062881167140455E-3</v>
      </c>
      <c r="M13" s="223">
        <f t="shared" si="2"/>
        <v>2.1062881167140455E-3</v>
      </c>
      <c r="N13" s="223">
        <f t="shared" si="2"/>
        <v>2.1062881167140455E-3</v>
      </c>
      <c r="O13" s="223">
        <f t="shared" si="2"/>
        <v>2.1062881167140455E-3</v>
      </c>
      <c r="P13" s="223">
        <f t="shared" si="2"/>
        <v>2.1062881167140455E-3</v>
      </c>
      <c r="Q13" s="223">
        <f t="shared" si="2"/>
        <v>2.1062881167140455E-3</v>
      </c>
      <c r="R13" s="223">
        <f t="shared" si="2"/>
        <v>2.1842987877034549E-3</v>
      </c>
      <c r="S13" s="223">
        <f t="shared" si="2"/>
        <v>2.1842987877034549E-3</v>
      </c>
      <c r="T13" s="223">
        <f t="shared" si="2"/>
        <v>2.1842987877034549E-3</v>
      </c>
      <c r="U13" s="223">
        <f t="shared" si="2"/>
        <v>2.1842987877034549E-3</v>
      </c>
      <c r="V13" s="223">
        <f t="shared" si="2"/>
        <v>2.1842987877034549E-3</v>
      </c>
      <c r="W13" s="223">
        <f t="shared" si="2"/>
        <v>2.1842987877034549E-3</v>
      </c>
      <c r="X13" s="223">
        <f t="shared" si="2"/>
        <v>2.1842987877034549E-3</v>
      </c>
      <c r="Y13" s="223">
        <f t="shared" si="2"/>
        <v>2.1842987877034549E-3</v>
      </c>
      <c r="Z13" s="223">
        <f t="shared" si="2"/>
        <v>2.1842987877034549E-3</v>
      </c>
      <c r="AA13" s="223">
        <f t="shared" si="2"/>
        <v>2.1842987877034549E-3</v>
      </c>
      <c r="AB13" s="223">
        <f t="shared" si="2"/>
        <v>2.2623094586928637E-3</v>
      </c>
      <c r="AC13" s="223">
        <f t="shared" si="2"/>
        <v>2.2623094586928637E-3</v>
      </c>
      <c r="AD13" s="223">
        <f t="shared" si="2"/>
        <v>2.2623094586928637E-3</v>
      </c>
      <c r="AE13" s="223">
        <f t="shared" si="2"/>
        <v>2.2623094586928637E-3</v>
      </c>
      <c r="AF13" s="223">
        <f t="shared" si="2"/>
        <v>2.2623094586928637E-3</v>
      </c>
      <c r="AG13" s="223">
        <f t="shared" si="2"/>
        <v>2.2623094586928637E-3</v>
      </c>
      <c r="AH13" s="223">
        <f t="shared" si="2"/>
        <v>2.2623094586928637E-3</v>
      </c>
      <c r="AI13" s="223">
        <f t="shared" si="2"/>
        <v>2.2623094586928637E-3</v>
      </c>
      <c r="AJ13" s="223">
        <f t="shared" si="2"/>
        <v>2.2623094586928637E-3</v>
      </c>
      <c r="AK13" s="223">
        <f t="shared" si="2"/>
        <v>2.2623094586928637E-3</v>
      </c>
      <c r="AL13" s="223">
        <f t="shared" si="2"/>
        <v>2.2623094586928637E-3</v>
      </c>
      <c r="AM13" s="223">
        <f t="shared" si="2"/>
        <v>2.2623094586928637E-3</v>
      </c>
      <c r="AN13" s="223">
        <f t="shared" si="2"/>
        <v>2.3403201296822735E-3</v>
      </c>
      <c r="AO13" s="223">
        <f t="shared" si="2"/>
        <v>2.3403201296822735E-3</v>
      </c>
      <c r="AP13" s="223">
        <f t="shared" si="2"/>
        <v>2.3403201296822735E-3</v>
      </c>
      <c r="AQ13" s="223">
        <f t="shared" si="2"/>
        <v>2.3403201296822735E-3</v>
      </c>
      <c r="AR13" s="223">
        <f t="shared" si="2"/>
        <v>2.3403201296822735E-3</v>
      </c>
      <c r="AS13" s="223">
        <f t="shared" si="2"/>
        <v>2.3403201296822735E-3</v>
      </c>
      <c r="AT13" s="223">
        <f t="shared" ref="AT13" si="3">AT90*AT95</f>
        <v>2.3403201296822735E-3</v>
      </c>
    </row>
    <row r="14" spans="1:53">
      <c r="A14" s="75"/>
      <c r="B14" s="93" t="s">
        <v>40</v>
      </c>
      <c r="C14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</row>
    <row r="15" spans="1:53">
      <c r="A15" s="75"/>
      <c r="B15" s="93"/>
      <c r="C15" t="str">
        <f>$C$12</f>
        <v>120th Avenue Interchange</v>
      </c>
      <c r="F15" s="223">
        <f>F66*F75</f>
        <v>1.2967126010131906E-2</v>
      </c>
      <c r="G15" s="223">
        <f t="shared" ref="G15:AS15" si="4">G66*G75</f>
        <v>1.2967126010131906E-2</v>
      </c>
      <c r="H15" s="223">
        <f t="shared" si="4"/>
        <v>1.3119680433780518E-2</v>
      </c>
      <c r="I15" s="223">
        <f t="shared" si="4"/>
        <v>1.3272234857429129E-2</v>
      </c>
      <c r="J15" s="223">
        <f t="shared" si="4"/>
        <v>1.3272234857429129E-2</v>
      </c>
      <c r="K15" s="223">
        <f t="shared" si="4"/>
        <v>1.342478928107774E-2</v>
      </c>
      <c r="L15" s="223">
        <f t="shared" si="4"/>
        <v>1.342478928107774E-2</v>
      </c>
      <c r="M15" s="223">
        <f t="shared" si="4"/>
        <v>1.3546832819996628E-2</v>
      </c>
      <c r="N15" s="223">
        <f t="shared" si="4"/>
        <v>1.3546832819996628E-2</v>
      </c>
      <c r="O15" s="223">
        <f t="shared" si="4"/>
        <v>1.3668876358915515E-2</v>
      </c>
      <c r="P15" s="223">
        <f t="shared" si="4"/>
        <v>1.3668876358915515E-2</v>
      </c>
      <c r="Q15" s="223">
        <f t="shared" si="4"/>
        <v>1.3790919897834404E-2</v>
      </c>
      <c r="R15" s="223">
        <f t="shared" si="4"/>
        <v>1.3790919897834404E-2</v>
      </c>
      <c r="S15" s="223">
        <f t="shared" si="4"/>
        <v>1.3912963436753294E-2</v>
      </c>
      <c r="T15" s="223">
        <f t="shared" si="4"/>
        <v>1.3912963436753294E-2</v>
      </c>
      <c r="U15" s="223">
        <f t="shared" si="4"/>
        <v>1.3912963436753294E-2</v>
      </c>
      <c r="V15" s="223">
        <f t="shared" si="4"/>
        <v>1.4035006975672183E-2</v>
      </c>
      <c r="W15" s="223">
        <f t="shared" si="4"/>
        <v>1.4035006975672183E-2</v>
      </c>
      <c r="X15" s="223">
        <f t="shared" si="4"/>
        <v>1.415705051459107E-2</v>
      </c>
      <c r="Y15" s="223">
        <f t="shared" si="4"/>
        <v>1.415705051459107E-2</v>
      </c>
      <c r="Z15" s="223">
        <f t="shared" si="4"/>
        <v>1.4279094053509961E-2</v>
      </c>
      <c r="AA15" s="223">
        <f t="shared" si="4"/>
        <v>1.4279094053509961E-2</v>
      </c>
      <c r="AB15" s="223">
        <f t="shared" si="4"/>
        <v>1.4279094053509961E-2</v>
      </c>
      <c r="AC15" s="223">
        <f t="shared" si="4"/>
        <v>1.4401137592428849E-2</v>
      </c>
      <c r="AD15" s="223">
        <f t="shared" si="4"/>
        <v>1.4401137592428849E-2</v>
      </c>
      <c r="AE15" s="223">
        <f t="shared" si="4"/>
        <v>1.4523181131347738E-2</v>
      </c>
      <c r="AF15" s="223">
        <f t="shared" si="4"/>
        <v>1.4523181131347738E-2</v>
      </c>
      <c r="AG15" s="223">
        <f t="shared" si="4"/>
        <v>1.4523181131347738E-2</v>
      </c>
      <c r="AH15" s="223">
        <f t="shared" si="4"/>
        <v>1.4645224670266627E-2</v>
      </c>
      <c r="AI15" s="223">
        <f t="shared" si="4"/>
        <v>1.4645224670266627E-2</v>
      </c>
      <c r="AJ15" s="223">
        <f t="shared" si="4"/>
        <v>1.4797779093915237E-2</v>
      </c>
      <c r="AK15" s="223">
        <f t="shared" si="4"/>
        <v>1.4797779093915237E-2</v>
      </c>
      <c r="AL15" s="223">
        <f t="shared" si="4"/>
        <v>1.4797779093915237E-2</v>
      </c>
      <c r="AM15" s="223">
        <f t="shared" si="4"/>
        <v>1.4950333517563847E-2</v>
      </c>
      <c r="AN15" s="223">
        <f t="shared" si="4"/>
        <v>1.4950333517563847E-2</v>
      </c>
      <c r="AO15" s="223">
        <f t="shared" si="4"/>
        <v>1.4950333517563847E-2</v>
      </c>
      <c r="AP15" s="223">
        <f t="shared" si="4"/>
        <v>1.5102887941212459E-2</v>
      </c>
      <c r="AQ15" s="223">
        <f t="shared" si="4"/>
        <v>1.5102887941212459E-2</v>
      </c>
      <c r="AR15" s="223">
        <f t="shared" si="4"/>
        <v>1.5255442364861069E-2</v>
      </c>
      <c r="AS15" s="223">
        <f t="shared" si="4"/>
        <v>1.5255442364861069E-2</v>
      </c>
      <c r="AT15" s="223">
        <f t="shared" ref="AT15" si="5">AT66*AT75</f>
        <v>1.5255442364861069E-2</v>
      </c>
    </row>
    <row r="16" spans="1:53">
      <c r="A16" s="75"/>
      <c r="B16" s="93"/>
      <c r="C16" t="str">
        <f>$C$13</f>
        <v>124th Avenue Intersection</v>
      </c>
      <c r="F16" s="223">
        <f>F90*F99</f>
        <v>4.4029371001000064E-3</v>
      </c>
      <c r="G16" s="223">
        <f t="shared" ref="G16:AS16" si="6">G90*G99</f>
        <v>4.4029371001000064E-3</v>
      </c>
      <c r="H16" s="223">
        <f t="shared" si="6"/>
        <v>4.5722808347192371E-3</v>
      </c>
      <c r="I16" s="223">
        <f t="shared" si="6"/>
        <v>4.5722808347192371E-3</v>
      </c>
      <c r="J16" s="223">
        <f t="shared" si="6"/>
        <v>4.5722808347192371E-3</v>
      </c>
      <c r="K16" s="223">
        <f t="shared" si="6"/>
        <v>4.5722808347192371E-3</v>
      </c>
      <c r="L16" s="223">
        <f t="shared" si="6"/>
        <v>4.5722808347192371E-3</v>
      </c>
      <c r="M16" s="223">
        <f t="shared" si="6"/>
        <v>4.5722808347192371E-3</v>
      </c>
      <c r="N16" s="223">
        <f t="shared" si="6"/>
        <v>4.5722808347192371E-3</v>
      </c>
      <c r="O16" s="223">
        <f t="shared" si="6"/>
        <v>4.5722808347192371E-3</v>
      </c>
      <c r="P16" s="223">
        <f t="shared" si="6"/>
        <v>4.5722808347192371E-3</v>
      </c>
      <c r="Q16" s="223">
        <f t="shared" si="6"/>
        <v>4.5722808347192371E-3</v>
      </c>
      <c r="R16" s="223">
        <f t="shared" si="6"/>
        <v>4.7416245693384677E-3</v>
      </c>
      <c r="S16" s="223">
        <f t="shared" si="6"/>
        <v>4.7416245693384677E-3</v>
      </c>
      <c r="T16" s="223">
        <f t="shared" si="6"/>
        <v>4.7416245693384677E-3</v>
      </c>
      <c r="U16" s="223">
        <f t="shared" si="6"/>
        <v>4.7416245693384677E-3</v>
      </c>
      <c r="V16" s="223">
        <f t="shared" si="6"/>
        <v>4.7416245693384677E-3</v>
      </c>
      <c r="W16" s="223">
        <f t="shared" si="6"/>
        <v>4.7416245693384677E-3</v>
      </c>
      <c r="X16" s="223">
        <f t="shared" si="6"/>
        <v>4.7416245693384677E-3</v>
      </c>
      <c r="Y16" s="223">
        <f t="shared" si="6"/>
        <v>4.7416245693384677E-3</v>
      </c>
      <c r="Z16" s="223">
        <f t="shared" si="6"/>
        <v>4.7416245693384677E-3</v>
      </c>
      <c r="AA16" s="223">
        <f t="shared" si="6"/>
        <v>4.7416245693384677E-3</v>
      </c>
      <c r="AB16" s="223">
        <f t="shared" si="6"/>
        <v>4.9109683039576984E-3</v>
      </c>
      <c r="AC16" s="223">
        <f t="shared" si="6"/>
        <v>4.9109683039576984E-3</v>
      </c>
      <c r="AD16" s="223">
        <f t="shared" si="6"/>
        <v>4.9109683039576984E-3</v>
      </c>
      <c r="AE16" s="223">
        <f t="shared" si="6"/>
        <v>4.9109683039576984E-3</v>
      </c>
      <c r="AF16" s="223">
        <f t="shared" si="6"/>
        <v>4.9109683039576984E-3</v>
      </c>
      <c r="AG16" s="223">
        <f t="shared" si="6"/>
        <v>4.9109683039576984E-3</v>
      </c>
      <c r="AH16" s="223">
        <f t="shared" si="6"/>
        <v>4.9109683039576984E-3</v>
      </c>
      <c r="AI16" s="223">
        <f t="shared" si="6"/>
        <v>4.9109683039576984E-3</v>
      </c>
      <c r="AJ16" s="223">
        <f t="shared" si="6"/>
        <v>4.9109683039576984E-3</v>
      </c>
      <c r="AK16" s="223">
        <f t="shared" si="6"/>
        <v>4.9109683039576984E-3</v>
      </c>
      <c r="AL16" s="223">
        <f t="shared" si="6"/>
        <v>4.9109683039576984E-3</v>
      </c>
      <c r="AM16" s="223">
        <f t="shared" si="6"/>
        <v>4.9109683039576984E-3</v>
      </c>
      <c r="AN16" s="223">
        <f t="shared" si="6"/>
        <v>5.0803120385769307E-3</v>
      </c>
      <c r="AO16" s="223">
        <f t="shared" si="6"/>
        <v>5.0803120385769307E-3</v>
      </c>
      <c r="AP16" s="223">
        <f t="shared" si="6"/>
        <v>5.0803120385769307E-3</v>
      </c>
      <c r="AQ16" s="223">
        <f t="shared" si="6"/>
        <v>5.0803120385769307E-3</v>
      </c>
      <c r="AR16" s="223">
        <f t="shared" si="6"/>
        <v>5.0803120385769307E-3</v>
      </c>
      <c r="AS16" s="223">
        <f t="shared" si="6"/>
        <v>5.0803120385769307E-3</v>
      </c>
      <c r="AT16" s="223">
        <f t="shared" ref="AT16" si="7">AT90*AT99</f>
        <v>5.0803120385769307E-3</v>
      </c>
      <c r="AU16" s="106"/>
      <c r="AV16" s="106"/>
      <c r="AW16" s="106"/>
      <c r="AX16" s="106"/>
      <c r="AY16" s="106"/>
      <c r="AZ16" s="106"/>
      <c r="BA16" s="106"/>
    </row>
    <row r="17" spans="1:46">
      <c r="A17" s="75"/>
      <c r="B17" s="93" t="s">
        <v>77</v>
      </c>
      <c r="C17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</row>
    <row r="18" spans="1:46">
      <c r="A18" s="75"/>
      <c r="B18" s="93"/>
      <c r="C18" t="str">
        <f>$C$12</f>
        <v>120th Avenue Interchange</v>
      </c>
      <c r="F18" s="223">
        <f t="shared" ref="F18:AS18" si="8">F66-F12-F15</f>
        <v>2.4007118128118281E-2</v>
      </c>
      <c r="G18" s="223">
        <f t="shared" si="8"/>
        <v>2.4007118128118281E-2</v>
      </c>
      <c r="H18" s="223">
        <f t="shared" si="8"/>
        <v>2.4289554811978489E-2</v>
      </c>
      <c r="I18" s="223">
        <f t="shared" si="8"/>
        <v>2.4571991495838712E-2</v>
      </c>
      <c r="J18" s="223">
        <f t="shared" si="8"/>
        <v>2.4571991495838712E-2</v>
      </c>
      <c r="K18" s="223">
        <f t="shared" si="8"/>
        <v>2.4854428179698924E-2</v>
      </c>
      <c r="L18" s="223">
        <f t="shared" si="8"/>
        <v>2.4854428179698924E-2</v>
      </c>
      <c r="M18" s="223">
        <f t="shared" si="8"/>
        <v>2.5080377526787094E-2</v>
      </c>
      <c r="N18" s="223">
        <f t="shared" si="8"/>
        <v>2.5080377526787094E-2</v>
      </c>
      <c r="O18" s="223">
        <f t="shared" si="8"/>
        <v>2.5306326873875264E-2</v>
      </c>
      <c r="P18" s="223">
        <f t="shared" si="8"/>
        <v>2.5306326873875264E-2</v>
      </c>
      <c r="Q18" s="223">
        <f t="shared" si="8"/>
        <v>2.5532276220963442E-2</v>
      </c>
      <c r="R18" s="223">
        <f t="shared" si="8"/>
        <v>2.5532276220963442E-2</v>
      </c>
      <c r="S18" s="223">
        <f t="shared" si="8"/>
        <v>2.5758225568051608E-2</v>
      </c>
      <c r="T18" s="223">
        <f t="shared" si="8"/>
        <v>2.5758225568051608E-2</v>
      </c>
      <c r="U18" s="223">
        <f t="shared" si="8"/>
        <v>2.5758225568051608E-2</v>
      </c>
      <c r="V18" s="223">
        <f t="shared" si="8"/>
        <v>2.5984174915139782E-2</v>
      </c>
      <c r="W18" s="223">
        <f t="shared" si="8"/>
        <v>2.5984174915139782E-2</v>
      </c>
      <c r="X18" s="223">
        <f t="shared" si="8"/>
        <v>2.6210124262227956E-2</v>
      </c>
      <c r="Y18" s="223">
        <f t="shared" si="8"/>
        <v>2.6210124262227956E-2</v>
      </c>
      <c r="Z18" s="223">
        <f t="shared" si="8"/>
        <v>2.643607360931613E-2</v>
      </c>
      <c r="AA18" s="223">
        <f t="shared" si="8"/>
        <v>2.643607360931613E-2</v>
      </c>
      <c r="AB18" s="223">
        <f t="shared" si="8"/>
        <v>2.643607360931613E-2</v>
      </c>
      <c r="AC18" s="223">
        <f t="shared" si="8"/>
        <v>2.6662022956404297E-2</v>
      </c>
      <c r="AD18" s="223">
        <f t="shared" si="8"/>
        <v>2.6662022956404297E-2</v>
      </c>
      <c r="AE18" s="223">
        <f t="shared" si="8"/>
        <v>2.6887972303492474E-2</v>
      </c>
      <c r="AF18" s="223">
        <f t="shared" si="8"/>
        <v>2.6887972303492474E-2</v>
      </c>
      <c r="AG18" s="223">
        <f t="shared" si="8"/>
        <v>2.6887972303492474E-2</v>
      </c>
      <c r="AH18" s="223">
        <f t="shared" si="8"/>
        <v>2.7113921650580651E-2</v>
      </c>
      <c r="AI18" s="223">
        <f t="shared" si="8"/>
        <v>2.7113921650580651E-2</v>
      </c>
      <c r="AJ18" s="223">
        <f t="shared" si="8"/>
        <v>2.7396358334440863E-2</v>
      </c>
      <c r="AK18" s="223">
        <f t="shared" si="8"/>
        <v>2.7396358334440863E-2</v>
      </c>
      <c r="AL18" s="223">
        <f t="shared" si="8"/>
        <v>2.7396358334440863E-2</v>
      </c>
      <c r="AM18" s="223">
        <f t="shared" si="8"/>
        <v>2.7678795018301075E-2</v>
      </c>
      <c r="AN18" s="223">
        <f t="shared" si="8"/>
        <v>2.7678795018301075E-2</v>
      </c>
      <c r="AO18" s="223">
        <f t="shared" si="8"/>
        <v>2.7678795018301075E-2</v>
      </c>
      <c r="AP18" s="223">
        <f t="shared" si="8"/>
        <v>2.7961231702161291E-2</v>
      </c>
      <c r="AQ18" s="223">
        <f t="shared" si="8"/>
        <v>2.7961231702161291E-2</v>
      </c>
      <c r="AR18" s="223">
        <f t="shared" si="8"/>
        <v>2.8243668386021509E-2</v>
      </c>
      <c r="AS18" s="223">
        <f t="shared" si="8"/>
        <v>2.8243668386021509E-2</v>
      </c>
      <c r="AT18" s="223">
        <f t="shared" ref="AT18" si="9">AT66-AT12-AT15</f>
        <v>2.8243668386021509E-2</v>
      </c>
    </row>
    <row r="19" spans="1:46">
      <c r="A19" s="75"/>
      <c r="B19" s="93"/>
      <c r="C19" t="str">
        <f>$C$13</f>
        <v>124th Avenue Intersection</v>
      </c>
      <c r="F19" s="223">
        <f>F90-F13-F16</f>
        <v>9.1687854541753593E-3</v>
      </c>
      <c r="G19" s="223">
        <f t="shared" ref="G19:AS19" si="10">G90-G13-G16</f>
        <v>9.1687854541753593E-3</v>
      </c>
      <c r="H19" s="223">
        <f t="shared" si="10"/>
        <v>9.521431048566717E-3</v>
      </c>
      <c r="I19" s="223">
        <f t="shared" si="10"/>
        <v>9.521431048566717E-3</v>
      </c>
      <c r="J19" s="223">
        <f t="shared" si="10"/>
        <v>9.521431048566717E-3</v>
      </c>
      <c r="K19" s="223">
        <f t="shared" si="10"/>
        <v>9.521431048566717E-3</v>
      </c>
      <c r="L19" s="223">
        <f t="shared" si="10"/>
        <v>9.521431048566717E-3</v>
      </c>
      <c r="M19" s="223">
        <f t="shared" si="10"/>
        <v>9.521431048566717E-3</v>
      </c>
      <c r="N19" s="223">
        <f t="shared" si="10"/>
        <v>9.521431048566717E-3</v>
      </c>
      <c r="O19" s="223">
        <f t="shared" si="10"/>
        <v>9.521431048566717E-3</v>
      </c>
      <c r="P19" s="223">
        <f t="shared" si="10"/>
        <v>9.521431048566717E-3</v>
      </c>
      <c r="Q19" s="223">
        <f t="shared" si="10"/>
        <v>9.521431048566717E-3</v>
      </c>
      <c r="R19" s="223">
        <f t="shared" si="10"/>
        <v>9.8740766429580747E-3</v>
      </c>
      <c r="S19" s="223">
        <f t="shared" si="10"/>
        <v>9.8740766429580747E-3</v>
      </c>
      <c r="T19" s="223">
        <f t="shared" si="10"/>
        <v>9.8740766429580747E-3</v>
      </c>
      <c r="U19" s="223">
        <f t="shared" si="10"/>
        <v>9.8740766429580747E-3</v>
      </c>
      <c r="V19" s="223">
        <f t="shared" si="10"/>
        <v>9.8740766429580747E-3</v>
      </c>
      <c r="W19" s="223">
        <f t="shared" si="10"/>
        <v>9.8740766429580747E-3</v>
      </c>
      <c r="X19" s="223">
        <f t="shared" si="10"/>
        <v>9.8740766429580747E-3</v>
      </c>
      <c r="Y19" s="223">
        <f t="shared" si="10"/>
        <v>9.8740766429580747E-3</v>
      </c>
      <c r="Z19" s="223">
        <f t="shared" si="10"/>
        <v>9.8740766429580747E-3</v>
      </c>
      <c r="AA19" s="223">
        <f t="shared" si="10"/>
        <v>9.8740766429580747E-3</v>
      </c>
      <c r="AB19" s="223">
        <f t="shared" si="10"/>
        <v>1.0226722237349436E-2</v>
      </c>
      <c r="AC19" s="223">
        <f t="shared" si="10"/>
        <v>1.0226722237349436E-2</v>
      </c>
      <c r="AD19" s="223">
        <f t="shared" si="10"/>
        <v>1.0226722237349436E-2</v>
      </c>
      <c r="AE19" s="223">
        <f t="shared" si="10"/>
        <v>1.0226722237349436E-2</v>
      </c>
      <c r="AF19" s="223">
        <f t="shared" si="10"/>
        <v>1.0226722237349436E-2</v>
      </c>
      <c r="AG19" s="223">
        <f t="shared" si="10"/>
        <v>1.0226722237349436E-2</v>
      </c>
      <c r="AH19" s="223">
        <f t="shared" si="10"/>
        <v>1.0226722237349436E-2</v>
      </c>
      <c r="AI19" s="223">
        <f t="shared" si="10"/>
        <v>1.0226722237349436E-2</v>
      </c>
      <c r="AJ19" s="223">
        <f t="shared" si="10"/>
        <v>1.0226722237349436E-2</v>
      </c>
      <c r="AK19" s="223">
        <f t="shared" si="10"/>
        <v>1.0226722237349436E-2</v>
      </c>
      <c r="AL19" s="223">
        <f t="shared" si="10"/>
        <v>1.0226722237349436E-2</v>
      </c>
      <c r="AM19" s="223">
        <f t="shared" si="10"/>
        <v>1.0226722237349436E-2</v>
      </c>
      <c r="AN19" s="223">
        <f t="shared" si="10"/>
        <v>1.05793678317408E-2</v>
      </c>
      <c r="AO19" s="223">
        <f t="shared" si="10"/>
        <v>1.05793678317408E-2</v>
      </c>
      <c r="AP19" s="223">
        <f t="shared" si="10"/>
        <v>1.05793678317408E-2</v>
      </c>
      <c r="AQ19" s="223">
        <f t="shared" si="10"/>
        <v>1.05793678317408E-2</v>
      </c>
      <c r="AR19" s="223">
        <f t="shared" si="10"/>
        <v>1.05793678317408E-2</v>
      </c>
      <c r="AS19" s="223">
        <f t="shared" si="10"/>
        <v>1.05793678317408E-2</v>
      </c>
      <c r="AT19" s="223">
        <f t="shared" ref="AT19" si="11">AT90-AT13-AT16</f>
        <v>1.05793678317408E-2</v>
      </c>
    </row>
    <row r="20" spans="1:46">
      <c r="A20" s="75"/>
      <c r="B20" s="93"/>
      <c r="C20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</row>
    <row r="21" spans="1:46">
      <c r="A21" s="92" t="str">
        <f>"PREFERRED (With "&amp;'BCA Summary'!E1&amp;" Grant)"</f>
        <v>PREFERRED (With BUILD Grant Grant)</v>
      </c>
      <c r="B21" s="92"/>
      <c r="C21" s="75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</row>
    <row r="22" spans="1:46">
      <c r="A22" s="75"/>
      <c r="B22" s="93" t="s">
        <v>38</v>
      </c>
      <c r="C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</row>
    <row r="23" spans="1:46">
      <c r="A23" s="75"/>
      <c r="B23" s="93"/>
      <c r="C23" t="str">
        <f>$C$12</f>
        <v>120th Avenue Interchange</v>
      </c>
      <c r="F23" s="102">
        <v>0</v>
      </c>
      <c r="G23" s="102">
        <v>0</v>
      </c>
      <c r="H23" s="102">
        <v>0</v>
      </c>
      <c r="I23" s="102">
        <v>0</v>
      </c>
      <c r="J23" s="102">
        <v>0</v>
      </c>
      <c r="K23" s="102">
        <v>0</v>
      </c>
      <c r="L23" s="102">
        <v>0</v>
      </c>
      <c r="M23" s="102">
        <v>0</v>
      </c>
      <c r="N23" s="102">
        <v>0</v>
      </c>
      <c r="O23" s="102">
        <v>0</v>
      </c>
      <c r="P23" s="102">
        <v>0</v>
      </c>
      <c r="Q23" s="102">
        <v>0</v>
      </c>
      <c r="R23" s="102">
        <v>0</v>
      </c>
      <c r="S23" s="102">
        <v>0</v>
      </c>
      <c r="T23" s="102">
        <v>0</v>
      </c>
      <c r="U23" s="102">
        <v>0</v>
      </c>
      <c r="V23" s="102">
        <v>0</v>
      </c>
      <c r="W23" s="102">
        <v>0</v>
      </c>
      <c r="X23" s="102">
        <v>0</v>
      </c>
      <c r="Y23" s="102">
        <v>0</v>
      </c>
      <c r="Z23" s="102">
        <v>0</v>
      </c>
      <c r="AA23" s="102">
        <v>0</v>
      </c>
      <c r="AB23" s="102">
        <v>0</v>
      </c>
      <c r="AC23" s="102">
        <v>0</v>
      </c>
      <c r="AD23" s="102">
        <v>0</v>
      </c>
      <c r="AE23" s="102">
        <v>0</v>
      </c>
      <c r="AF23" s="102">
        <v>0</v>
      </c>
      <c r="AG23" s="102">
        <v>0</v>
      </c>
      <c r="AH23" s="102">
        <v>0</v>
      </c>
      <c r="AI23" s="102">
        <v>0</v>
      </c>
      <c r="AJ23" s="102">
        <v>0</v>
      </c>
      <c r="AK23" s="102">
        <v>0</v>
      </c>
      <c r="AL23" s="102">
        <v>0</v>
      </c>
      <c r="AM23" s="102">
        <v>0</v>
      </c>
      <c r="AN23" s="102">
        <v>0</v>
      </c>
      <c r="AO23" s="102">
        <v>0</v>
      </c>
      <c r="AP23" s="102">
        <v>0</v>
      </c>
      <c r="AQ23" s="102">
        <v>0</v>
      </c>
      <c r="AR23" s="102">
        <v>0</v>
      </c>
      <c r="AS23" s="102">
        <v>0</v>
      </c>
      <c r="AT23" s="102">
        <v>0</v>
      </c>
    </row>
    <row r="24" spans="1:46">
      <c r="A24" s="75"/>
      <c r="B24" s="93"/>
      <c r="C24" t="str">
        <f>$C$13</f>
        <v>124th Avenue Intersection</v>
      </c>
      <c r="F24" s="102">
        <v>0</v>
      </c>
      <c r="G24" s="102">
        <v>0</v>
      </c>
      <c r="H24" s="102">
        <v>0</v>
      </c>
      <c r="I24" s="102">
        <v>0</v>
      </c>
      <c r="J24" s="102">
        <v>0</v>
      </c>
      <c r="K24" s="102">
        <v>0</v>
      </c>
      <c r="L24" s="102">
        <v>0</v>
      </c>
      <c r="M24" s="102">
        <v>0</v>
      </c>
      <c r="N24" s="102">
        <v>0</v>
      </c>
      <c r="O24" s="102">
        <v>0</v>
      </c>
      <c r="P24" s="102">
        <v>0</v>
      </c>
      <c r="Q24" s="102">
        <v>0</v>
      </c>
      <c r="R24" s="102">
        <v>0</v>
      </c>
      <c r="S24" s="102">
        <v>0</v>
      </c>
      <c r="T24" s="102">
        <v>0</v>
      </c>
      <c r="U24" s="102">
        <v>0</v>
      </c>
      <c r="V24" s="102">
        <v>0</v>
      </c>
      <c r="W24" s="102">
        <v>0</v>
      </c>
      <c r="X24" s="102">
        <v>0</v>
      </c>
      <c r="Y24" s="102">
        <v>0</v>
      </c>
      <c r="Z24" s="102">
        <v>0</v>
      </c>
      <c r="AA24" s="102">
        <v>0</v>
      </c>
      <c r="AB24" s="102">
        <v>0</v>
      </c>
      <c r="AC24" s="102">
        <v>0</v>
      </c>
      <c r="AD24" s="102">
        <v>0</v>
      </c>
      <c r="AE24" s="102">
        <v>0</v>
      </c>
      <c r="AF24" s="102">
        <v>0</v>
      </c>
      <c r="AG24" s="102">
        <v>0</v>
      </c>
      <c r="AH24" s="102">
        <v>0</v>
      </c>
      <c r="AI24" s="102">
        <v>0</v>
      </c>
      <c r="AJ24" s="102">
        <v>0</v>
      </c>
      <c r="AK24" s="102">
        <v>0</v>
      </c>
      <c r="AL24" s="102">
        <v>0</v>
      </c>
      <c r="AM24" s="102">
        <v>0</v>
      </c>
      <c r="AN24" s="102">
        <v>0</v>
      </c>
      <c r="AO24" s="102">
        <v>0</v>
      </c>
      <c r="AP24" s="102">
        <v>0</v>
      </c>
      <c r="AQ24" s="102">
        <v>0</v>
      </c>
      <c r="AR24" s="102">
        <v>0</v>
      </c>
      <c r="AS24" s="102">
        <v>0</v>
      </c>
      <c r="AT24" s="102">
        <v>0</v>
      </c>
    </row>
    <row r="25" spans="1:46">
      <c r="A25" s="75"/>
      <c r="B25" s="93" t="s">
        <v>40</v>
      </c>
      <c r="C25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</row>
    <row r="26" spans="1:46">
      <c r="A26" s="75"/>
      <c r="B26" s="93"/>
      <c r="C26" t="str">
        <f>$C$12</f>
        <v>120th Avenue Interchange</v>
      </c>
      <c r="F26" s="102">
        <v>0</v>
      </c>
      <c r="G26" s="102">
        <v>0</v>
      </c>
      <c r="H26" s="102">
        <v>0</v>
      </c>
      <c r="I26" s="102">
        <v>0</v>
      </c>
      <c r="J26" s="102">
        <v>0</v>
      </c>
      <c r="K26" s="102">
        <v>0</v>
      </c>
      <c r="L26" s="102">
        <v>0</v>
      </c>
      <c r="M26" s="102">
        <v>0</v>
      </c>
      <c r="N26" s="102">
        <v>0</v>
      </c>
      <c r="O26" s="102">
        <v>0</v>
      </c>
      <c r="P26" s="102">
        <v>0</v>
      </c>
      <c r="Q26" s="102">
        <v>0</v>
      </c>
      <c r="R26" s="102">
        <v>0</v>
      </c>
      <c r="S26" s="102">
        <v>0</v>
      </c>
      <c r="T26" s="102">
        <v>0</v>
      </c>
      <c r="U26" s="102">
        <v>0</v>
      </c>
      <c r="V26" s="102">
        <v>0</v>
      </c>
      <c r="W26" s="102">
        <v>0</v>
      </c>
      <c r="X26" s="102">
        <v>0</v>
      </c>
      <c r="Y26" s="102">
        <v>0</v>
      </c>
      <c r="Z26" s="102">
        <v>0</v>
      </c>
      <c r="AA26" s="102">
        <v>0</v>
      </c>
      <c r="AB26" s="102">
        <v>0</v>
      </c>
      <c r="AC26" s="102">
        <v>0</v>
      </c>
      <c r="AD26" s="102">
        <v>0</v>
      </c>
      <c r="AE26" s="102">
        <v>0</v>
      </c>
      <c r="AF26" s="102">
        <v>0</v>
      </c>
      <c r="AG26" s="102">
        <v>0</v>
      </c>
      <c r="AH26" s="102">
        <v>0</v>
      </c>
      <c r="AI26" s="102">
        <v>0</v>
      </c>
      <c r="AJ26" s="102">
        <v>0</v>
      </c>
      <c r="AK26" s="102">
        <v>0</v>
      </c>
      <c r="AL26" s="102">
        <v>0</v>
      </c>
      <c r="AM26" s="102">
        <v>0</v>
      </c>
      <c r="AN26" s="102">
        <v>0</v>
      </c>
      <c r="AO26" s="102">
        <v>0</v>
      </c>
      <c r="AP26" s="102">
        <v>0</v>
      </c>
      <c r="AQ26" s="102">
        <v>0</v>
      </c>
      <c r="AR26" s="102">
        <v>0</v>
      </c>
      <c r="AS26" s="102">
        <v>0</v>
      </c>
      <c r="AT26" s="102">
        <v>0</v>
      </c>
    </row>
    <row r="27" spans="1:46">
      <c r="A27" s="75"/>
      <c r="B27" s="93"/>
      <c r="C27" t="str">
        <f>$C$13</f>
        <v>124th Avenue Intersection</v>
      </c>
      <c r="F27" s="102">
        <v>0</v>
      </c>
      <c r="G27" s="102">
        <v>0</v>
      </c>
      <c r="H27" s="102">
        <v>0</v>
      </c>
      <c r="I27" s="102">
        <v>0</v>
      </c>
      <c r="J27" s="102">
        <v>0</v>
      </c>
      <c r="K27" s="102">
        <v>0</v>
      </c>
      <c r="L27" s="102">
        <v>0</v>
      </c>
      <c r="M27" s="102">
        <v>0</v>
      </c>
      <c r="N27" s="102">
        <v>0</v>
      </c>
      <c r="O27" s="102">
        <v>0</v>
      </c>
      <c r="P27" s="102">
        <v>0</v>
      </c>
      <c r="Q27" s="102">
        <v>0</v>
      </c>
      <c r="R27" s="102">
        <v>0</v>
      </c>
      <c r="S27" s="102">
        <v>0</v>
      </c>
      <c r="T27" s="102">
        <v>0</v>
      </c>
      <c r="U27" s="102">
        <v>0</v>
      </c>
      <c r="V27" s="102">
        <v>0</v>
      </c>
      <c r="W27" s="102">
        <v>0</v>
      </c>
      <c r="X27" s="102">
        <v>0</v>
      </c>
      <c r="Y27" s="102">
        <v>0</v>
      </c>
      <c r="Z27" s="102">
        <v>0</v>
      </c>
      <c r="AA27" s="102">
        <v>0</v>
      </c>
      <c r="AB27" s="102">
        <v>0</v>
      </c>
      <c r="AC27" s="102">
        <v>0</v>
      </c>
      <c r="AD27" s="102">
        <v>0</v>
      </c>
      <c r="AE27" s="102">
        <v>0</v>
      </c>
      <c r="AF27" s="102">
        <v>0</v>
      </c>
      <c r="AG27" s="102">
        <v>0</v>
      </c>
      <c r="AH27" s="102">
        <v>0</v>
      </c>
      <c r="AI27" s="102">
        <v>0</v>
      </c>
      <c r="AJ27" s="102">
        <v>0</v>
      </c>
      <c r="AK27" s="102">
        <v>0</v>
      </c>
      <c r="AL27" s="102">
        <v>0</v>
      </c>
      <c r="AM27" s="102">
        <v>0</v>
      </c>
      <c r="AN27" s="102">
        <v>0</v>
      </c>
      <c r="AO27" s="102">
        <v>0</v>
      </c>
      <c r="AP27" s="102">
        <v>0</v>
      </c>
      <c r="AQ27" s="102">
        <v>0</v>
      </c>
      <c r="AR27" s="102">
        <v>0</v>
      </c>
      <c r="AS27" s="102">
        <v>0</v>
      </c>
      <c r="AT27" s="102">
        <v>0</v>
      </c>
    </row>
    <row r="28" spans="1:46">
      <c r="A28" s="75"/>
      <c r="B28" s="93" t="s">
        <v>77</v>
      </c>
      <c r="C28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</row>
    <row r="29" spans="1:46">
      <c r="A29" s="75"/>
      <c r="B29" s="93"/>
      <c r="C29" t="str">
        <f>$C$12</f>
        <v>120th Avenue Interchange</v>
      </c>
      <c r="F29" s="102">
        <v>0</v>
      </c>
      <c r="G29" s="102">
        <v>0</v>
      </c>
      <c r="H29" s="102">
        <v>0</v>
      </c>
      <c r="I29" s="102">
        <v>0</v>
      </c>
      <c r="J29" s="102">
        <v>0</v>
      </c>
      <c r="K29" s="102">
        <v>0</v>
      </c>
      <c r="L29" s="102">
        <v>0</v>
      </c>
      <c r="M29" s="102">
        <v>0</v>
      </c>
      <c r="N29" s="102">
        <v>0</v>
      </c>
      <c r="O29" s="102">
        <v>0</v>
      </c>
      <c r="P29" s="102">
        <v>0</v>
      </c>
      <c r="Q29" s="102">
        <v>0</v>
      </c>
      <c r="R29" s="102">
        <v>0</v>
      </c>
      <c r="S29" s="102">
        <v>0</v>
      </c>
      <c r="T29" s="102">
        <v>0</v>
      </c>
      <c r="U29" s="102">
        <v>0</v>
      </c>
      <c r="V29" s="102">
        <v>0</v>
      </c>
      <c r="W29" s="102">
        <v>0</v>
      </c>
      <c r="X29" s="102">
        <v>0</v>
      </c>
      <c r="Y29" s="102">
        <v>0</v>
      </c>
      <c r="Z29" s="102">
        <v>0</v>
      </c>
      <c r="AA29" s="102">
        <v>0</v>
      </c>
      <c r="AB29" s="102">
        <v>0</v>
      </c>
      <c r="AC29" s="102">
        <v>0</v>
      </c>
      <c r="AD29" s="102">
        <v>0</v>
      </c>
      <c r="AE29" s="102">
        <v>0</v>
      </c>
      <c r="AF29" s="102">
        <v>0</v>
      </c>
      <c r="AG29" s="102">
        <v>0</v>
      </c>
      <c r="AH29" s="102">
        <v>0</v>
      </c>
      <c r="AI29" s="102">
        <v>0</v>
      </c>
      <c r="AJ29" s="102">
        <v>0</v>
      </c>
      <c r="AK29" s="102">
        <v>0</v>
      </c>
      <c r="AL29" s="102">
        <v>0</v>
      </c>
      <c r="AM29" s="102">
        <v>0</v>
      </c>
      <c r="AN29" s="102">
        <v>0</v>
      </c>
      <c r="AO29" s="102">
        <v>0</v>
      </c>
      <c r="AP29" s="102">
        <v>0</v>
      </c>
      <c r="AQ29" s="102">
        <v>0</v>
      </c>
      <c r="AR29" s="102">
        <v>0</v>
      </c>
      <c r="AS29" s="102">
        <v>0</v>
      </c>
      <c r="AT29" s="102">
        <v>0</v>
      </c>
    </row>
    <row r="30" spans="1:46">
      <c r="A30" s="75"/>
      <c r="B30" s="93"/>
      <c r="C30" t="str">
        <f>$C$13</f>
        <v>124th Avenue Intersection</v>
      </c>
      <c r="F30" s="102">
        <v>0</v>
      </c>
      <c r="G30" s="102">
        <v>0</v>
      </c>
      <c r="H30" s="102">
        <v>0</v>
      </c>
      <c r="I30" s="102">
        <v>0</v>
      </c>
      <c r="J30" s="102">
        <v>0</v>
      </c>
      <c r="K30" s="102">
        <v>0</v>
      </c>
      <c r="L30" s="102">
        <v>0</v>
      </c>
      <c r="M30" s="102">
        <v>0</v>
      </c>
      <c r="N30" s="102">
        <v>0</v>
      </c>
      <c r="O30" s="102">
        <v>0</v>
      </c>
      <c r="P30" s="102">
        <v>0</v>
      </c>
      <c r="Q30" s="102">
        <v>0</v>
      </c>
      <c r="R30" s="102">
        <v>0</v>
      </c>
      <c r="S30" s="102">
        <v>0</v>
      </c>
      <c r="T30" s="102">
        <v>0</v>
      </c>
      <c r="U30" s="102">
        <v>0</v>
      </c>
      <c r="V30" s="102">
        <v>0</v>
      </c>
      <c r="W30" s="102">
        <v>0</v>
      </c>
      <c r="X30" s="102">
        <v>0</v>
      </c>
      <c r="Y30" s="102">
        <v>0</v>
      </c>
      <c r="Z30" s="102">
        <v>0</v>
      </c>
      <c r="AA30" s="102">
        <v>0</v>
      </c>
      <c r="AB30" s="102">
        <v>0</v>
      </c>
      <c r="AC30" s="102">
        <v>0</v>
      </c>
      <c r="AD30" s="102">
        <v>0</v>
      </c>
      <c r="AE30" s="102">
        <v>0</v>
      </c>
      <c r="AF30" s="102">
        <v>0</v>
      </c>
      <c r="AG30" s="102">
        <v>0</v>
      </c>
      <c r="AH30" s="102">
        <v>0</v>
      </c>
      <c r="AI30" s="102">
        <v>0</v>
      </c>
      <c r="AJ30" s="102">
        <v>0</v>
      </c>
      <c r="AK30" s="102">
        <v>0</v>
      </c>
      <c r="AL30" s="102">
        <v>0</v>
      </c>
      <c r="AM30" s="102">
        <v>0</v>
      </c>
      <c r="AN30" s="102">
        <v>0</v>
      </c>
      <c r="AO30" s="102">
        <v>0</v>
      </c>
      <c r="AP30" s="102">
        <v>0</v>
      </c>
      <c r="AQ30" s="102">
        <v>0</v>
      </c>
      <c r="AR30" s="102">
        <v>0</v>
      </c>
      <c r="AS30" s="102">
        <v>0</v>
      </c>
      <c r="AT30" s="102">
        <v>0</v>
      </c>
    </row>
    <row r="31" spans="1:46">
      <c r="A31"/>
      <c r="B31"/>
      <c r="C31"/>
      <c r="D31"/>
      <c r="E31"/>
      <c r="F31"/>
      <c r="G31"/>
      <c r="H31"/>
      <c r="I31" s="63"/>
      <c r="J31" s="63"/>
      <c r="K31" s="64"/>
      <c r="L31" s="64"/>
    </row>
    <row r="32" spans="1:46">
      <c r="A32" s="37" t="str">
        <f>"BASELINE (No "&amp;'BCA Summary'!E1&amp;" Grant) Fatal Crashes"</f>
        <v>BASELINE (No BUILD Grant Grant) Fatal Crashes</v>
      </c>
      <c r="B32" s="37"/>
      <c r="C32" s="38"/>
      <c r="D32" s="38"/>
      <c r="E32" s="38"/>
      <c r="F32" s="224">
        <f>SUM(F12:F13)</f>
        <v>7.5540333074744469E-3</v>
      </c>
      <c r="G32" s="224">
        <f t="shared" ref="G32:AS32" si="12">SUM(G12:G13)</f>
        <v>7.5540333074744469E-3</v>
      </c>
      <c r="H32" s="224">
        <f t="shared" si="12"/>
        <v>7.6970528709550314E-3</v>
      </c>
      <c r="I32" s="224">
        <f t="shared" si="12"/>
        <v>7.7620617634462045E-3</v>
      </c>
      <c r="J32" s="224">
        <f t="shared" si="12"/>
        <v>7.7620617634462045E-3</v>
      </c>
      <c r="K32" s="224">
        <f t="shared" si="12"/>
        <v>7.8270706559373793E-3</v>
      </c>
      <c r="L32" s="224">
        <f t="shared" si="12"/>
        <v>7.8270706559373793E-3</v>
      </c>
      <c r="M32" s="224">
        <f t="shared" si="12"/>
        <v>7.8790777699303191E-3</v>
      </c>
      <c r="N32" s="224">
        <f t="shared" si="12"/>
        <v>7.8790777699303191E-3</v>
      </c>
      <c r="O32" s="224">
        <f t="shared" si="12"/>
        <v>7.9310848839232572E-3</v>
      </c>
      <c r="P32" s="224">
        <f t="shared" si="12"/>
        <v>7.9310848839232572E-3</v>
      </c>
      <c r="Q32" s="224">
        <f t="shared" si="12"/>
        <v>7.983091997916197E-3</v>
      </c>
      <c r="R32" s="224">
        <f t="shared" si="12"/>
        <v>8.0611026689056068E-3</v>
      </c>
      <c r="S32" s="224">
        <f t="shared" si="12"/>
        <v>8.1131097828985449E-3</v>
      </c>
      <c r="T32" s="224">
        <f t="shared" si="12"/>
        <v>8.1131097828985449E-3</v>
      </c>
      <c r="U32" s="224">
        <f t="shared" si="12"/>
        <v>8.1131097828985449E-3</v>
      </c>
      <c r="V32" s="224">
        <f t="shared" si="12"/>
        <v>8.1651168968914847E-3</v>
      </c>
      <c r="W32" s="224">
        <f t="shared" si="12"/>
        <v>8.1651168968914847E-3</v>
      </c>
      <c r="X32" s="224">
        <f t="shared" si="12"/>
        <v>8.2171240108844246E-3</v>
      </c>
      <c r="Y32" s="224">
        <f t="shared" si="12"/>
        <v>8.2171240108844246E-3</v>
      </c>
      <c r="Z32" s="224">
        <f t="shared" si="12"/>
        <v>8.2691311248773644E-3</v>
      </c>
      <c r="AA32" s="224">
        <f t="shared" si="12"/>
        <v>8.2691311248773644E-3</v>
      </c>
      <c r="AB32" s="224">
        <f t="shared" si="12"/>
        <v>8.3471417958667742E-3</v>
      </c>
      <c r="AC32" s="224">
        <f t="shared" si="12"/>
        <v>8.399148909859714E-3</v>
      </c>
      <c r="AD32" s="224">
        <f t="shared" si="12"/>
        <v>8.399148909859714E-3</v>
      </c>
      <c r="AE32" s="224">
        <f t="shared" si="12"/>
        <v>8.4511560238526538E-3</v>
      </c>
      <c r="AF32" s="224">
        <f t="shared" si="12"/>
        <v>8.4511560238526538E-3</v>
      </c>
      <c r="AG32" s="224">
        <f t="shared" si="12"/>
        <v>8.4511560238526538E-3</v>
      </c>
      <c r="AH32" s="224">
        <f t="shared" si="12"/>
        <v>8.5031631378455919E-3</v>
      </c>
      <c r="AI32" s="224">
        <f t="shared" si="12"/>
        <v>8.5031631378455919E-3</v>
      </c>
      <c r="AJ32" s="224">
        <f t="shared" si="12"/>
        <v>8.5681720303367667E-3</v>
      </c>
      <c r="AK32" s="224">
        <f t="shared" si="12"/>
        <v>8.5681720303367667E-3</v>
      </c>
      <c r="AL32" s="224">
        <f t="shared" si="12"/>
        <v>8.5681720303367667E-3</v>
      </c>
      <c r="AM32" s="224">
        <f t="shared" si="12"/>
        <v>8.6331809228279398E-3</v>
      </c>
      <c r="AN32" s="224">
        <f t="shared" si="12"/>
        <v>8.7111915938173495E-3</v>
      </c>
      <c r="AO32" s="224">
        <f t="shared" si="12"/>
        <v>8.7111915938173495E-3</v>
      </c>
      <c r="AP32" s="224">
        <f t="shared" si="12"/>
        <v>8.7762004863085261E-3</v>
      </c>
      <c r="AQ32" s="224">
        <f t="shared" si="12"/>
        <v>8.7762004863085261E-3</v>
      </c>
      <c r="AR32" s="224">
        <f t="shared" si="12"/>
        <v>8.8412093787996991E-3</v>
      </c>
      <c r="AS32" s="224">
        <f t="shared" si="12"/>
        <v>8.8412093787996991E-3</v>
      </c>
      <c r="AT32" s="224">
        <f t="shared" ref="AT32" si="13">SUM(AT12:AT13)</f>
        <v>8.8412093787996991E-3</v>
      </c>
    </row>
    <row r="33" spans="1:46">
      <c r="A33" s="26" t="str">
        <f>"PREFERRED (With "&amp;'BCA Summary'!E1&amp;" Grant) Fatal Crashes"</f>
        <v>PREFERRED (With BUILD Grant Grant) Fatal Crashes</v>
      </c>
      <c r="B33" s="26"/>
      <c r="F33" s="225">
        <f t="shared" ref="F33:AS33" si="14">IF(F7="Yes",SUM(F23:F24),F32)</f>
        <v>7.5540333074744469E-3</v>
      </c>
      <c r="G33" s="225">
        <f t="shared" si="14"/>
        <v>7.5540333074744469E-3</v>
      </c>
      <c r="H33" s="225">
        <f t="shared" si="14"/>
        <v>7.6970528709550314E-3</v>
      </c>
      <c r="I33" s="225">
        <f t="shared" si="14"/>
        <v>7.7620617634462045E-3</v>
      </c>
      <c r="J33" s="225">
        <f t="shared" si="14"/>
        <v>7.7620617634462045E-3</v>
      </c>
      <c r="K33" s="225">
        <f t="shared" si="14"/>
        <v>7.8270706559373793E-3</v>
      </c>
      <c r="L33" s="225">
        <f t="shared" si="14"/>
        <v>7.8270706559373793E-3</v>
      </c>
      <c r="M33" s="225">
        <f t="shared" si="14"/>
        <v>7.8790777699303191E-3</v>
      </c>
      <c r="N33" s="225">
        <f t="shared" si="14"/>
        <v>7.8790777699303191E-3</v>
      </c>
      <c r="O33" s="225">
        <f t="shared" si="14"/>
        <v>7.9310848839232572E-3</v>
      </c>
      <c r="P33" s="225">
        <f t="shared" si="14"/>
        <v>7.9310848839232572E-3</v>
      </c>
      <c r="Q33" s="225">
        <f t="shared" si="14"/>
        <v>7.983091997916197E-3</v>
      </c>
      <c r="R33" s="225">
        <f t="shared" si="14"/>
        <v>8.0611026689056068E-3</v>
      </c>
      <c r="S33" s="225">
        <f t="shared" si="14"/>
        <v>8.1131097828985449E-3</v>
      </c>
      <c r="T33" s="225">
        <f t="shared" si="14"/>
        <v>8.1131097828985449E-3</v>
      </c>
      <c r="U33" s="225">
        <f t="shared" si="14"/>
        <v>0</v>
      </c>
      <c r="V33" s="225">
        <f t="shared" si="14"/>
        <v>0</v>
      </c>
      <c r="W33" s="225">
        <f t="shared" si="14"/>
        <v>0</v>
      </c>
      <c r="X33" s="225">
        <f t="shared" si="14"/>
        <v>0</v>
      </c>
      <c r="Y33" s="225">
        <f t="shared" si="14"/>
        <v>0</v>
      </c>
      <c r="Z33" s="225">
        <f t="shared" si="14"/>
        <v>0</v>
      </c>
      <c r="AA33" s="225">
        <f t="shared" si="14"/>
        <v>0</v>
      </c>
      <c r="AB33" s="225">
        <f t="shared" si="14"/>
        <v>0</v>
      </c>
      <c r="AC33" s="225">
        <f t="shared" si="14"/>
        <v>0</v>
      </c>
      <c r="AD33" s="225">
        <f t="shared" si="14"/>
        <v>0</v>
      </c>
      <c r="AE33" s="225">
        <f t="shared" si="14"/>
        <v>0</v>
      </c>
      <c r="AF33" s="225">
        <f t="shared" si="14"/>
        <v>0</v>
      </c>
      <c r="AG33" s="225">
        <f t="shared" si="14"/>
        <v>0</v>
      </c>
      <c r="AH33" s="225">
        <f t="shared" si="14"/>
        <v>0</v>
      </c>
      <c r="AI33" s="225">
        <f t="shared" si="14"/>
        <v>0</v>
      </c>
      <c r="AJ33" s="225">
        <f t="shared" si="14"/>
        <v>0</v>
      </c>
      <c r="AK33" s="225">
        <f t="shared" si="14"/>
        <v>0</v>
      </c>
      <c r="AL33" s="225">
        <f t="shared" si="14"/>
        <v>0</v>
      </c>
      <c r="AM33" s="225">
        <f t="shared" si="14"/>
        <v>0</v>
      </c>
      <c r="AN33" s="225">
        <f t="shared" si="14"/>
        <v>0</v>
      </c>
      <c r="AO33" s="225">
        <f t="shared" si="14"/>
        <v>0</v>
      </c>
      <c r="AP33" s="225">
        <f t="shared" si="14"/>
        <v>0</v>
      </c>
      <c r="AQ33" s="225">
        <f t="shared" si="14"/>
        <v>0</v>
      </c>
      <c r="AR33" s="225">
        <f t="shared" si="14"/>
        <v>0</v>
      </c>
      <c r="AS33" s="225">
        <f t="shared" si="14"/>
        <v>0</v>
      </c>
      <c r="AT33" s="225">
        <f t="shared" ref="AT33" si="15">IF(AT7="Yes",SUM(AT23:AT24),AT32)</f>
        <v>0</v>
      </c>
    </row>
    <row r="34" spans="1:46">
      <c r="A34" s="39" t="s">
        <v>78</v>
      </c>
      <c r="B34" s="39"/>
      <c r="C34" s="40"/>
      <c r="D34" s="40"/>
      <c r="E34" s="40"/>
      <c r="F34" s="226">
        <f>F32-F33</f>
        <v>0</v>
      </c>
      <c r="G34" s="226">
        <f t="shared" ref="G34:AS34" si="16">G32-G33</f>
        <v>0</v>
      </c>
      <c r="H34" s="226">
        <f t="shared" si="16"/>
        <v>0</v>
      </c>
      <c r="I34" s="226">
        <f t="shared" si="16"/>
        <v>0</v>
      </c>
      <c r="J34" s="226">
        <f t="shared" si="16"/>
        <v>0</v>
      </c>
      <c r="K34" s="226">
        <f t="shared" si="16"/>
        <v>0</v>
      </c>
      <c r="L34" s="226">
        <f t="shared" si="16"/>
        <v>0</v>
      </c>
      <c r="M34" s="226">
        <f t="shared" si="16"/>
        <v>0</v>
      </c>
      <c r="N34" s="226">
        <f t="shared" si="16"/>
        <v>0</v>
      </c>
      <c r="O34" s="226">
        <f t="shared" si="16"/>
        <v>0</v>
      </c>
      <c r="P34" s="226">
        <f t="shared" si="16"/>
        <v>0</v>
      </c>
      <c r="Q34" s="226">
        <f t="shared" si="16"/>
        <v>0</v>
      </c>
      <c r="R34" s="226">
        <f t="shared" si="16"/>
        <v>0</v>
      </c>
      <c r="S34" s="226">
        <f t="shared" si="16"/>
        <v>0</v>
      </c>
      <c r="T34" s="226">
        <f t="shared" si="16"/>
        <v>0</v>
      </c>
      <c r="U34" s="226">
        <f t="shared" si="16"/>
        <v>8.1131097828985449E-3</v>
      </c>
      <c r="V34" s="226">
        <f t="shared" si="16"/>
        <v>8.1651168968914847E-3</v>
      </c>
      <c r="W34" s="226">
        <f t="shared" si="16"/>
        <v>8.1651168968914847E-3</v>
      </c>
      <c r="X34" s="226">
        <f t="shared" si="16"/>
        <v>8.2171240108844246E-3</v>
      </c>
      <c r="Y34" s="226">
        <f t="shared" si="16"/>
        <v>8.2171240108844246E-3</v>
      </c>
      <c r="Z34" s="226">
        <f t="shared" si="16"/>
        <v>8.2691311248773644E-3</v>
      </c>
      <c r="AA34" s="226">
        <f t="shared" si="16"/>
        <v>8.2691311248773644E-3</v>
      </c>
      <c r="AB34" s="226">
        <f t="shared" si="16"/>
        <v>8.3471417958667742E-3</v>
      </c>
      <c r="AC34" s="226">
        <f t="shared" si="16"/>
        <v>8.399148909859714E-3</v>
      </c>
      <c r="AD34" s="226">
        <f t="shared" si="16"/>
        <v>8.399148909859714E-3</v>
      </c>
      <c r="AE34" s="226">
        <f t="shared" si="16"/>
        <v>8.4511560238526538E-3</v>
      </c>
      <c r="AF34" s="226">
        <f t="shared" si="16"/>
        <v>8.4511560238526538E-3</v>
      </c>
      <c r="AG34" s="226">
        <f t="shared" si="16"/>
        <v>8.4511560238526538E-3</v>
      </c>
      <c r="AH34" s="226">
        <f t="shared" si="16"/>
        <v>8.5031631378455919E-3</v>
      </c>
      <c r="AI34" s="226">
        <f t="shared" si="16"/>
        <v>8.5031631378455919E-3</v>
      </c>
      <c r="AJ34" s="226">
        <f t="shared" si="16"/>
        <v>8.5681720303367667E-3</v>
      </c>
      <c r="AK34" s="226">
        <f t="shared" si="16"/>
        <v>8.5681720303367667E-3</v>
      </c>
      <c r="AL34" s="226">
        <f t="shared" si="16"/>
        <v>8.5681720303367667E-3</v>
      </c>
      <c r="AM34" s="226">
        <f t="shared" si="16"/>
        <v>8.6331809228279398E-3</v>
      </c>
      <c r="AN34" s="226">
        <f t="shared" si="16"/>
        <v>8.7111915938173495E-3</v>
      </c>
      <c r="AO34" s="226">
        <f t="shared" si="16"/>
        <v>8.7111915938173495E-3</v>
      </c>
      <c r="AP34" s="226">
        <f t="shared" si="16"/>
        <v>8.7762004863085261E-3</v>
      </c>
      <c r="AQ34" s="226">
        <f t="shared" si="16"/>
        <v>8.7762004863085261E-3</v>
      </c>
      <c r="AR34" s="226">
        <f t="shared" si="16"/>
        <v>8.8412093787996991E-3</v>
      </c>
      <c r="AS34" s="226">
        <f t="shared" si="16"/>
        <v>8.8412093787996991E-3</v>
      </c>
      <c r="AT34" s="226">
        <f t="shared" ref="AT34" si="17">AT32-AT33</f>
        <v>8.8412093787996991E-3</v>
      </c>
    </row>
    <row r="35" spans="1:46">
      <c r="A35"/>
      <c r="B35"/>
      <c r="C35"/>
      <c r="D35"/>
      <c r="E35"/>
      <c r="F35" s="227"/>
      <c r="G35" s="227"/>
      <c r="H35" s="222"/>
      <c r="I35" s="228"/>
      <c r="J35" s="222"/>
      <c r="K35" s="222"/>
      <c r="L35" s="222"/>
      <c r="M35" s="229"/>
      <c r="N35" s="229"/>
      <c r="O35" s="229"/>
      <c r="P35" s="229"/>
      <c r="Q35" s="229"/>
      <c r="R35" s="229"/>
      <c r="S35" s="229"/>
      <c r="T35" s="229"/>
      <c r="U35" s="229"/>
      <c r="V35" s="229"/>
      <c r="W35" s="229"/>
      <c r="X35" s="229"/>
      <c r="Y35" s="229"/>
      <c r="Z35" s="229"/>
      <c r="AA35" s="229"/>
      <c r="AB35" s="229"/>
      <c r="AC35" s="229"/>
      <c r="AD35" s="229"/>
      <c r="AE35" s="229"/>
      <c r="AF35" s="230"/>
      <c r="AG35" s="230"/>
      <c r="AH35" s="230"/>
      <c r="AI35" s="230"/>
      <c r="AJ35" s="230"/>
      <c r="AK35" s="230"/>
      <c r="AL35" s="230"/>
      <c r="AM35" s="230"/>
      <c r="AN35" s="230"/>
      <c r="AO35" s="230"/>
      <c r="AP35" s="230"/>
      <c r="AQ35" s="230"/>
      <c r="AR35" s="230"/>
      <c r="AS35" s="230"/>
      <c r="AT35" s="230"/>
    </row>
    <row r="36" spans="1:46">
      <c r="A36" s="37" t="str">
        <f>"BASELINE (No "&amp;'BCA Summary'!E1&amp;" Grant) Injury Crashes"</f>
        <v>BASELINE (No BUILD Grant Grant) Injury Crashes</v>
      </c>
      <c r="B36" s="37"/>
      <c r="C36" s="38"/>
      <c r="D36" s="38"/>
      <c r="E36" s="38"/>
      <c r="F36" s="224">
        <f>SUM(F15:F16)</f>
        <v>1.7370063110231912E-2</v>
      </c>
      <c r="G36" s="224">
        <f t="shared" ref="G36:AS36" si="18">SUM(G15:G16)</f>
        <v>1.7370063110231912E-2</v>
      </c>
      <c r="H36" s="224">
        <f t="shared" si="18"/>
        <v>1.7691961268499756E-2</v>
      </c>
      <c r="I36" s="224">
        <f t="shared" si="18"/>
        <v>1.7844515692148365E-2</v>
      </c>
      <c r="J36" s="224">
        <f t="shared" si="18"/>
        <v>1.7844515692148365E-2</v>
      </c>
      <c r="K36" s="224">
        <f t="shared" si="18"/>
        <v>1.7997070115796977E-2</v>
      </c>
      <c r="L36" s="224">
        <f t="shared" si="18"/>
        <v>1.7997070115796977E-2</v>
      </c>
      <c r="M36" s="224">
        <f t="shared" si="18"/>
        <v>1.8119113654715864E-2</v>
      </c>
      <c r="N36" s="224">
        <f t="shared" si="18"/>
        <v>1.8119113654715864E-2</v>
      </c>
      <c r="O36" s="224">
        <f t="shared" si="18"/>
        <v>1.8241157193634751E-2</v>
      </c>
      <c r="P36" s="224">
        <f t="shared" si="18"/>
        <v>1.8241157193634751E-2</v>
      </c>
      <c r="Q36" s="224">
        <f t="shared" si="18"/>
        <v>1.8363200732553642E-2</v>
      </c>
      <c r="R36" s="224">
        <f t="shared" si="18"/>
        <v>1.8532544467172871E-2</v>
      </c>
      <c r="S36" s="224">
        <f t="shared" si="18"/>
        <v>1.8654588006091762E-2</v>
      </c>
      <c r="T36" s="224">
        <f t="shared" si="18"/>
        <v>1.8654588006091762E-2</v>
      </c>
      <c r="U36" s="224">
        <f t="shared" si="18"/>
        <v>1.8654588006091762E-2</v>
      </c>
      <c r="V36" s="224">
        <f t="shared" si="18"/>
        <v>1.877663154501065E-2</v>
      </c>
      <c r="W36" s="224">
        <f t="shared" si="18"/>
        <v>1.877663154501065E-2</v>
      </c>
      <c r="X36" s="224">
        <f t="shared" si="18"/>
        <v>1.8898675083929537E-2</v>
      </c>
      <c r="Y36" s="224">
        <f t="shared" si="18"/>
        <v>1.8898675083929537E-2</v>
      </c>
      <c r="Z36" s="224">
        <f t="shared" si="18"/>
        <v>1.9020718622848428E-2</v>
      </c>
      <c r="AA36" s="224">
        <f t="shared" si="18"/>
        <v>1.9020718622848428E-2</v>
      </c>
      <c r="AB36" s="224">
        <f t="shared" si="18"/>
        <v>1.919006235746766E-2</v>
      </c>
      <c r="AC36" s="224">
        <f t="shared" si="18"/>
        <v>1.9312105896386548E-2</v>
      </c>
      <c r="AD36" s="224">
        <f t="shared" si="18"/>
        <v>1.9312105896386548E-2</v>
      </c>
      <c r="AE36" s="224">
        <f t="shared" si="18"/>
        <v>1.9434149435305435E-2</v>
      </c>
      <c r="AF36" s="224">
        <f t="shared" si="18"/>
        <v>1.9434149435305435E-2</v>
      </c>
      <c r="AG36" s="224">
        <f t="shared" si="18"/>
        <v>1.9434149435305435E-2</v>
      </c>
      <c r="AH36" s="224">
        <f t="shared" si="18"/>
        <v>1.9556192974224326E-2</v>
      </c>
      <c r="AI36" s="224">
        <f t="shared" si="18"/>
        <v>1.9556192974224326E-2</v>
      </c>
      <c r="AJ36" s="224">
        <f t="shared" si="18"/>
        <v>1.9708747397872935E-2</v>
      </c>
      <c r="AK36" s="224">
        <f t="shared" si="18"/>
        <v>1.9708747397872935E-2</v>
      </c>
      <c r="AL36" s="224">
        <f t="shared" si="18"/>
        <v>1.9708747397872935E-2</v>
      </c>
      <c r="AM36" s="224">
        <f t="shared" si="18"/>
        <v>1.9861301821521547E-2</v>
      </c>
      <c r="AN36" s="224">
        <f t="shared" si="18"/>
        <v>2.0030645556140779E-2</v>
      </c>
      <c r="AO36" s="224">
        <f t="shared" si="18"/>
        <v>2.0030645556140779E-2</v>
      </c>
      <c r="AP36" s="224">
        <f t="shared" si="18"/>
        <v>2.0183199979789391E-2</v>
      </c>
      <c r="AQ36" s="224">
        <f t="shared" si="18"/>
        <v>2.0183199979789391E-2</v>
      </c>
      <c r="AR36" s="224">
        <f t="shared" si="18"/>
        <v>2.0335754403437999E-2</v>
      </c>
      <c r="AS36" s="224">
        <f t="shared" si="18"/>
        <v>2.0335754403437999E-2</v>
      </c>
      <c r="AT36" s="224">
        <f t="shared" ref="AT36" si="19">SUM(AT15:AT16)</f>
        <v>2.0335754403437999E-2</v>
      </c>
    </row>
    <row r="37" spans="1:46">
      <c r="A37" s="26" t="str">
        <f>"PREFERRED (With "&amp;'BCA Summary'!E1&amp;" Grant) Injury Crashes"</f>
        <v>PREFERRED (With BUILD Grant Grant) Injury Crashes</v>
      </c>
      <c r="B37" s="26"/>
      <c r="F37" s="225">
        <f t="shared" ref="F37:AS37" si="20">IF(F7="Yes",SUM(F26:F27),F36)</f>
        <v>1.7370063110231912E-2</v>
      </c>
      <c r="G37" s="225">
        <f t="shared" si="20"/>
        <v>1.7370063110231912E-2</v>
      </c>
      <c r="H37" s="225">
        <f t="shared" si="20"/>
        <v>1.7691961268499756E-2</v>
      </c>
      <c r="I37" s="225">
        <f t="shared" si="20"/>
        <v>1.7844515692148365E-2</v>
      </c>
      <c r="J37" s="225">
        <f t="shared" si="20"/>
        <v>1.7844515692148365E-2</v>
      </c>
      <c r="K37" s="225">
        <f t="shared" si="20"/>
        <v>1.7997070115796977E-2</v>
      </c>
      <c r="L37" s="225">
        <f t="shared" si="20"/>
        <v>1.7997070115796977E-2</v>
      </c>
      <c r="M37" s="225">
        <f t="shared" si="20"/>
        <v>1.8119113654715864E-2</v>
      </c>
      <c r="N37" s="225">
        <f t="shared" si="20"/>
        <v>1.8119113654715864E-2</v>
      </c>
      <c r="O37" s="225">
        <f t="shared" si="20"/>
        <v>1.8241157193634751E-2</v>
      </c>
      <c r="P37" s="225">
        <f t="shared" si="20"/>
        <v>1.8241157193634751E-2</v>
      </c>
      <c r="Q37" s="225">
        <f t="shared" si="20"/>
        <v>1.8363200732553642E-2</v>
      </c>
      <c r="R37" s="225">
        <f t="shared" si="20"/>
        <v>1.8532544467172871E-2</v>
      </c>
      <c r="S37" s="225">
        <f t="shared" si="20"/>
        <v>1.8654588006091762E-2</v>
      </c>
      <c r="T37" s="225">
        <f t="shared" si="20"/>
        <v>1.8654588006091762E-2</v>
      </c>
      <c r="U37" s="225">
        <f t="shared" si="20"/>
        <v>0</v>
      </c>
      <c r="V37" s="225">
        <f t="shared" si="20"/>
        <v>0</v>
      </c>
      <c r="W37" s="225">
        <f t="shared" si="20"/>
        <v>0</v>
      </c>
      <c r="X37" s="225">
        <f t="shared" si="20"/>
        <v>0</v>
      </c>
      <c r="Y37" s="225">
        <f t="shared" si="20"/>
        <v>0</v>
      </c>
      <c r="Z37" s="225">
        <f t="shared" si="20"/>
        <v>0</v>
      </c>
      <c r="AA37" s="225">
        <f t="shared" si="20"/>
        <v>0</v>
      </c>
      <c r="AB37" s="225">
        <f t="shared" si="20"/>
        <v>0</v>
      </c>
      <c r="AC37" s="225">
        <f t="shared" si="20"/>
        <v>0</v>
      </c>
      <c r="AD37" s="225">
        <f t="shared" si="20"/>
        <v>0</v>
      </c>
      <c r="AE37" s="225">
        <f t="shared" si="20"/>
        <v>0</v>
      </c>
      <c r="AF37" s="225">
        <f t="shared" si="20"/>
        <v>0</v>
      </c>
      <c r="AG37" s="225">
        <f t="shared" si="20"/>
        <v>0</v>
      </c>
      <c r="AH37" s="225">
        <f t="shared" si="20"/>
        <v>0</v>
      </c>
      <c r="AI37" s="225">
        <f t="shared" si="20"/>
        <v>0</v>
      </c>
      <c r="AJ37" s="225">
        <f t="shared" si="20"/>
        <v>0</v>
      </c>
      <c r="AK37" s="225">
        <f t="shared" si="20"/>
        <v>0</v>
      </c>
      <c r="AL37" s="225">
        <f t="shared" si="20"/>
        <v>0</v>
      </c>
      <c r="AM37" s="225">
        <f t="shared" si="20"/>
        <v>0</v>
      </c>
      <c r="AN37" s="225">
        <f t="shared" si="20"/>
        <v>0</v>
      </c>
      <c r="AO37" s="225">
        <f t="shared" si="20"/>
        <v>0</v>
      </c>
      <c r="AP37" s="225">
        <f t="shared" si="20"/>
        <v>0</v>
      </c>
      <c r="AQ37" s="225">
        <f t="shared" si="20"/>
        <v>0</v>
      </c>
      <c r="AR37" s="225">
        <f t="shared" si="20"/>
        <v>0</v>
      </c>
      <c r="AS37" s="225">
        <f t="shared" si="20"/>
        <v>0</v>
      </c>
      <c r="AT37" s="225">
        <f t="shared" ref="AT37" si="21">IF(AT7="Yes",SUM(AT26:AT27),AT36)</f>
        <v>0</v>
      </c>
    </row>
    <row r="38" spans="1:46">
      <c r="A38" s="39" t="s">
        <v>79</v>
      </c>
      <c r="B38" s="39"/>
      <c r="C38" s="40"/>
      <c r="D38" s="40"/>
      <c r="E38" s="40"/>
      <c r="F38" s="226">
        <f>F36-F37</f>
        <v>0</v>
      </c>
      <c r="G38" s="226">
        <f t="shared" ref="G38:AS38" si="22">G36-G37</f>
        <v>0</v>
      </c>
      <c r="H38" s="226">
        <f t="shared" si="22"/>
        <v>0</v>
      </c>
      <c r="I38" s="226">
        <f t="shared" si="22"/>
        <v>0</v>
      </c>
      <c r="J38" s="226">
        <f t="shared" si="22"/>
        <v>0</v>
      </c>
      <c r="K38" s="226">
        <f t="shared" si="22"/>
        <v>0</v>
      </c>
      <c r="L38" s="226">
        <f t="shared" si="22"/>
        <v>0</v>
      </c>
      <c r="M38" s="226">
        <f t="shared" si="22"/>
        <v>0</v>
      </c>
      <c r="N38" s="226">
        <f t="shared" si="22"/>
        <v>0</v>
      </c>
      <c r="O38" s="226">
        <f t="shared" si="22"/>
        <v>0</v>
      </c>
      <c r="P38" s="226">
        <f t="shared" si="22"/>
        <v>0</v>
      </c>
      <c r="Q38" s="226">
        <f t="shared" si="22"/>
        <v>0</v>
      </c>
      <c r="R38" s="226">
        <f t="shared" si="22"/>
        <v>0</v>
      </c>
      <c r="S38" s="226">
        <f t="shared" si="22"/>
        <v>0</v>
      </c>
      <c r="T38" s="226">
        <f t="shared" si="22"/>
        <v>0</v>
      </c>
      <c r="U38" s="226">
        <f t="shared" si="22"/>
        <v>1.8654588006091762E-2</v>
      </c>
      <c r="V38" s="226">
        <f t="shared" si="22"/>
        <v>1.877663154501065E-2</v>
      </c>
      <c r="W38" s="226">
        <f t="shared" si="22"/>
        <v>1.877663154501065E-2</v>
      </c>
      <c r="X38" s="226">
        <f t="shared" si="22"/>
        <v>1.8898675083929537E-2</v>
      </c>
      <c r="Y38" s="226">
        <f t="shared" si="22"/>
        <v>1.8898675083929537E-2</v>
      </c>
      <c r="Z38" s="226">
        <f t="shared" si="22"/>
        <v>1.9020718622848428E-2</v>
      </c>
      <c r="AA38" s="226">
        <f t="shared" si="22"/>
        <v>1.9020718622848428E-2</v>
      </c>
      <c r="AB38" s="226">
        <f t="shared" si="22"/>
        <v>1.919006235746766E-2</v>
      </c>
      <c r="AC38" s="226">
        <f t="shared" si="22"/>
        <v>1.9312105896386548E-2</v>
      </c>
      <c r="AD38" s="226">
        <f t="shared" si="22"/>
        <v>1.9312105896386548E-2</v>
      </c>
      <c r="AE38" s="226">
        <f t="shared" si="22"/>
        <v>1.9434149435305435E-2</v>
      </c>
      <c r="AF38" s="226">
        <f t="shared" si="22"/>
        <v>1.9434149435305435E-2</v>
      </c>
      <c r="AG38" s="226">
        <f t="shared" si="22"/>
        <v>1.9434149435305435E-2</v>
      </c>
      <c r="AH38" s="226">
        <f t="shared" si="22"/>
        <v>1.9556192974224326E-2</v>
      </c>
      <c r="AI38" s="226">
        <f t="shared" si="22"/>
        <v>1.9556192974224326E-2</v>
      </c>
      <c r="AJ38" s="226">
        <f t="shared" si="22"/>
        <v>1.9708747397872935E-2</v>
      </c>
      <c r="AK38" s="226">
        <f t="shared" si="22"/>
        <v>1.9708747397872935E-2</v>
      </c>
      <c r="AL38" s="226">
        <f t="shared" si="22"/>
        <v>1.9708747397872935E-2</v>
      </c>
      <c r="AM38" s="226">
        <f t="shared" si="22"/>
        <v>1.9861301821521547E-2</v>
      </c>
      <c r="AN38" s="226">
        <f t="shared" si="22"/>
        <v>2.0030645556140779E-2</v>
      </c>
      <c r="AO38" s="226">
        <f t="shared" si="22"/>
        <v>2.0030645556140779E-2</v>
      </c>
      <c r="AP38" s="226">
        <f t="shared" si="22"/>
        <v>2.0183199979789391E-2</v>
      </c>
      <c r="AQ38" s="226">
        <f t="shared" si="22"/>
        <v>2.0183199979789391E-2</v>
      </c>
      <c r="AR38" s="226">
        <f t="shared" si="22"/>
        <v>2.0335754403437999E-2</v>
      </c>
      <c r="AS38" s="226">
        <f t="shared" si="22"/>
        <v>2.0335754403437999E-2</v>
      </c>
      <c r="AT38" s="226">
        <f t="shared" ref="AT38" si="23">AT36-AT37</f>
        <v>2.0335754403437999E-2</v>
      </c>
    </row>
    <row r="39" spans="1:46">
      <c r="A39"/>
      <c r="B39"/>
      <c r="C39"/>
      <c r="D39"/>
      <c r="E39"/>
      <c r="F39" s="227"/>
      <c r="G39" s="227"/>
      <c r="H39" s="222"/>
      <c r="I39" s="228"/>
      <c r="J39" s="228"/>
      <c r="K39" s="222"/>
      <c r="L39" s="222"/>
      <c r="M39" s="229"/>
      <c r="N39" s="229"/>
      <c r="O39" s="229"/>
      <c r="P39" s="229"/>
      <c r="Q39" s="229"/>
      <c r="R39" s="229"/>
      <c r="S39" s="229"/>
      <c r="T39" s="229"/>
      <c r="U39" s="229"/>
      <c r="V39" s="229"/>
      <c r="W39" s="229"/>
      <c r="X39" s="229"/>
      <c r="Y39" s="229"/>
      <c r="Z39" s="229"/>
      <c r="AA39" s="229"/>
      <c r="AB39" s="229"/>
      <c r="AC39" s="229"/>
      <c r="AD39" s="229"/>
      <c r="AE39" s="229"/>
      <c r="AF39" s="230"/>
      <c r="AG39" s="230"/>
      <c r="AH39" s="230"/>
      <c r="AI39" s="230"/>
      <c r="AJ39" s="230"/>
      <c r="AK39" s="230"/>
      <c r="AL39" s="230"/>
      <c r="AM39" s="230"/>
      <c r="AN39" s="230"/>
      <c r="AO39" s="230"/>
      <c r="AP39" s="230"/>
      <c r="AQ39" s="230"/>
      <c r="AR39" s="230"/>
      <c r="AS39" s="230"/>
      <c r="AT39" s="230"/>
    </row>
    <row r="40" spans="1:46">
      <c r="A40" s="37" t="str">
        <f>"BASELINE (No "&amp;'BCA Summary'!E1&amp;" Grant) PDO Crashes"</f>
        <v>BASELINE (No BUILD Grant Grant) PDO Crashes</v>
      </c>
      <c r="B40" s="37"/>
      <c r="C40" s="38"/>
      <c r="D40" s="38"/>
      <c r="E40" s="38"/>
      <c r="F40" s="224">
        <f>SUM(F18:F19)</f>
        <v>3.3175903582293637E-2</v>
      </c>
      <c r="G40" s="224">
        <f t="shared" ref="G40:AS40" si="24">SUM(G18:G19)</f>
        <v>3.3175903582293637E-2</v>
      </c>
      <c r="H40" s="224">
        <f t="shared" si="24"/>
        <v>3.3810985860545206E-2</v>
      </c>
      <c r="I40" s="224">
        <f t="shared" si="24"/>
        <v>3.4093422544405429E-2</v>
      </c>
      <c r="J40" s="224">
        <f t="shared" si="24"/>
        <v>3.4093422544405429E-2</v>
      </c>
      <c r="K40" s="224">
        <f t="shared" si="24"/>
        <v>3.4375859228265637E-2</v>
      </c>
      <c r="L40" s="224">
        <f t="shared" si="24"/>
        <v>3.4375859228265637E-2</v>
      </c>
      <c r="M40" s="224">
        <f t="shared" si="24"/>
        <v>3.4601808575353811E-2</v>
      </c>
      <c r="N40" s="224">
        <f t="shared" si="24"/>
        <v>3.4601808575353811E-2</v>
      </c>
      <c r="O40" s="224">
        <f t="shared" si="24"/>
        <v>3.4827757922441985E-2</v>
      </c>
      <c r="P40" s="224">
        <f t="shared" si="24"/>
        <v>3.4827757922441985E-2</v>
      </c>
      <c r="Q40" s="224">
        <f t="shared" si="24"/>
        <v>3.5053707269530159E-2</v>
      </c>
      <c r="R40" s="224">
        <f t="shared" si="24"/>
        <v>3.540635286392152E-2</v>
      </c>
      <c r="S40" s="224">
        <f t="shared" si="24"/>
        <v>3.5632302211009687E-2</v>
      </c>
      <c r="T40" s="224">
        <f t="shared" si="24"/>
        <v>3.5632302211009687E-2</v>
      </c>
      <c r="U40" s="224">
        <f t="shared" si="24"/>
        <v>3.5632302211009687E-2</v>
      </c>
      <c r="V40" s="224">
        <f t="shared" si="24"/>
        <v>3.5858251558097853E-2</v>
      </c>
      <c r="W40" s="224">
        <f t="shared" si="24"/>
        <v>3.5858251558097853E-2</v>
      </c>
      <c r="X40" s="224">
        <f t="shared" si="24"/>
        <v>3.6084200905186034E-2</v>
      </c>
      <c r="Y40" s="224">
        <f t="shared" si="24"/>
        <v>3.6084200905186034E-2</v>
      </c>
      <c r="Z40" s="224">
        <f t="shared" si="24"/>
        <v>3.6310150252274201E-2</v>
      </c>
      <c r="AA40" s="224">
        <f t="shared" si="24"/>
        <v>3.6310150252274201E-2</v>
      </c>
      <c r="AB40" s="224">
        <f t="shared" si="24"/>
        <v>3.6662795846665569E-2</v>
      </c>
      <c r="AC40" s="224">
        <f t="shared" si="24"/>
        <v>3.6888745193753736E-2</v>
      </c>
      <c r="AD40" s="224">
        <f t="shared" si="24"/>
        <v>3.6888745193753736E-2</v>
      </c>
      <c r="AE40" s="224">
        <f t="shared" si="24"/>
        <v>3.711469454084191E-2</v>
      </c>
      <c r="AF40" s="224">
        <f t="shared" si="24"/>
        <v>3.711469454084191E-2</v>
      </c>
      <c r="AG40" s="224">
        <f t="shared" si="24"/>
        <v>3.711469454084191E-2</v>
      </c>
      <c r="AH40" s="224">
        <f t="shared" si="24"/>
        <v>3.7340643887930083E-2</v>
      </c>
      <c r="AI40" s="224">
        <f t="shared" si="24"/>
        <v>3.7340643887930083E-2</v>
      </c>
      <c r="AJ40" s="224">
        <f t="shared" si="24"/>
        <v>3.7623080571790299E-2</v>
      </c>
      <c r="AK40" s="224">
        <f t="shared" si="24"/>
        <v>3.7623080571790299E-2</v>
      </c>
      <c r="AL40" s="224">
        <f t="shared" si="24"/>
        <v>3.7623080571790299E-2</v>
      </c>
      <c r="AM40" s="224">
        <f t="shared" si="24"/>
        <v>3.7905517255650514E-2</v>
      </c>
      <c r="AN40" s="224">
        <f t="shared" si="24"/>
        <v>3.8258162850041876E-2</v>
      </c>
      <c r="AO40" s="224">
        <f t="shared" si="24"/>
        <v>3.8258162850041876E-2</v>
      </c>
      <c r="AP40" s="224">
        <f t="shared" si="24"/>
        <v>3.8540599533902091E-2</v>
      </c>
      <c r="AQ40" s="224">
        <f t="shared" si="24"/>
        <v>3.8540599533902091E-2</v>
      </c>
      <c r="AR40" s="224">
        <f t="shared" si="24"/>
        <v>3.8823036217762313E-2</v>
      </c>
      <c r="AS40" s="224">
        <f t="shared" si="24"/>
        <v>3.8823036217762313E-2</v>
      </c>
      <c r="AT40" s="224">
        <f t="shared" ref="AT40" si="25">SUM(AT18:AT19)</f>
        <v>3.8823036217762313E-2</v>
      </c>
    </row>
    <row r="41" spans="1:46">
      <c r="A41" s="26" t="str">
        <f>"PREFERRED (With "&amp;'BCA Summary'!E1&amp;" Grant) PDO Crashes"</f>
        <v>PREFERRED (With BUILD Grant Grant) PDO Crashes</v>
      </c>
      <c r="B41" s="26"/>
      <c r="F41" s="225">
        <f t="shared" ref="F41:AS41" si="26">IF(F7="Yes",SUM(F29:F30),F40)</f>
        <v>3.3175903582293637E-2</v>
      </c>
      <c r="G41" s="225">
        <f t="shared" si="26"/>
        <v>3.3175903582293637E-2</v>
      </c>
      <c r="H41" s="225">
        <f t="shared" si="26"/>
        <v>3.3810985860545206E-2</v>
      </c>
      <c r="I41" s="225">
        <f t="shared" si="26"/>
        <v>3.4093422544405429E-2</v>
      </c>
      <c r="J41" s="225">
        <f t="shared" si="26"/>
        <v>3.4093422544405429E-2</v>
      </c>
      <c r="K41" s="225">
        <f t="shared" si="26"/>
        <v>3.4375859228265637E-2</v>
      </c>
      <c r="L41" s="225">
        <f t="shared" si="26"/>
        <v>3.4375859228265637E-2</v>
      </c>
      <c r="M41" s="225">
        <f t="shared" si="26"/>
        <v>3.4601808575353811E-2</v>
      </c>
      <c r="N41" s="225">
        <f t="shared" si="26"/>
        <v>3.4601808575353811E-2</v>
      </c>
      <c r="O41" s="225">
        <f t="shared" si="26"/>
        <v>3.4827757922441985E-2</v>
      </c>
      <c r="P41" s="225">
        <f t="shared" si="26"/>
        <v>3.4827757922441985E-2</v>
      </c>
      <c r="Q41" s="225">
        <f t="shared" si="26"/>
        <v>3.5053707269530159E-2</v>
      </c>
      <c r="R41" s="225">
        <f t="shared" si="26"/>
        <v>3.540635286392152E-2</v>
      </c>
      <c r="S41" s="225">
        <f t="shared" si="26"/>
        <v>3.5632302211009687E-2</v>
      </c>
      <c r="T41" s="225">
        <f t="shared" si="26"/>
        <v>3.5632302211009687E-2</v>
      </c>
      <c r="U41" s="225">
        <f t="shared" si="26"/>
        <v>0</v>
      </c>
      <c r="V41" s="225">
        <f t="shared" si="26"/>
        <v>0</v>
      </c>
      <c r="W41" s="225">
        <f t="shared" si="26"/>
        <v>0</v>
      </c>
      <c r="X41" s="225">
        <f t="shared" si="26"/>
        <v>0</v>
      </c>
      <c r="Y41" s="225">
        <f t="shared" si="26"/>
        <v>0</v>
      </c>
      <c r="Z41" s="225">
        <f t="shared" si="26"/>
        <v>0</v>
      </c>
      <c r="AA41" s="225">
        <f t="shared" si="26"/>
        <v>0</v>
      </c>
      <c r="AB41" s="225">
        <f t="shared" si="26"/>
        <v>0</v>
      </c>
      <c r="AC41" s="225">
        <f t="shared" si="26"/>
        <v>0</v>
      </c>
      <c r="AD41" s="225">
        <f t="shared" si="26"/>
        <v>0</v>
      </c>
      <c r="AE41" s="225">
        <f t="shared" si="26"/>
        <v>0</v>
      </c>
      <c r="AF41" s="225">
        <f t="shared" si="26"/>
        <v>0</v>
      </c>
      <c r="AG41" s="225">
        <f t="shared" si="26"/>
        <v>0</v>
      </c>
      <c r="AH41" s="225">
        <f t="shared" si="26"/>
        <v>0</v>
      </c>
      <c r="AI41" s="225">
        <f t="shared" si="26"/>
        <v>0</v>
      </c>
      <c r="AJ41" s="225">
        <f t="shared" si="26"/>
        <v>0</v>
      </c>
      <c r="AK41" s="225">
        <f t="shared" si="26"/>
        <v>0</v>
      </c>
      <c r="AL41" s="225">
        <f t="shared" si="26"/>
        <v>0</v>
      </c>
      <c r="AM41" s="225">
        <f t="shared" si="26"/>
        <v>0</v>
      </c>
      <c r="AN41" s="225">
        <f t="shared" si="26"/>
        <v>0</v>
      </c>
      <c r="AO41" s="225">
        <f t="shared" si="26"/>
        <v>0</v>
      </c>
      <c r="AP41" s="225">
        <f t="shared" si="26"/>
        <v>0</v>
      </c>
      <c r="AQ41" s="225">
        <f t="shared" si="26"/>
        <v>0</v>
      </c>
      <c r="AR41" s="225">
        <f t="shared" si="26"/>
        <v>0</v>
      </c>
      <c r="AS41" s="225">
        <f t="shared" si="26"/>
        <v>0</v>
      </c>
      <c r="AT41" s="225">
        <f t="shared" ref="AT41" si="27">IF(AT7="Yes",SUM(AT29:AT30),AT40)</f>
        <v>0</v>
      </c>
    </row>
    <row r="42" spans="1:46">
      <c r="A42" s="39" t="s">
        <v>78</v>
      </c>
      <c r="B42" s="39"/>
      <c r="C42" s="40"/>
      <c r="D42" s="40"/>
      <c r="E42" s="40"/>
      <c r="F42" s="226">
        <f>F40-F41</f>
        <v>0</v>
      </c>
      <c r="G42" s="226">
        <f t="shared" ref="G42:AS42" si="28">G40-G41</f>
        <v>0</v>
      </c>
      <c r="H42" s="226">
        <f t="shared" si="28"/>
        <v>0</v>
      </c>
      <c r="I42" s="226">
        <f t="shared" si="28"/>
        <v>0</v>
      </c>
      <c r="J42" s="226">
        <f t="shared" si="28"/>
        <v>0</v>
      </c>
      <c r="K42" s="226">
        <f t="shared" si="28"/>
        <v>0</v>
      </c>
      <c r="L42" s="226">
        <f t="shared" si="28"/>
        <v>0</v>
      </c>
      <c r="M42" s="226">
        <f t="shared" si="28"/>
        <v>0</v>
      </c>
      <c r="N42" s="226">
        <f t="shared" si="28"/>
        <v>0</v>
      </c>
      <c r="O42" s="226">
        <f t="shared" si="28"/>
        <v>0</v>
      </c>
      <c r="P42" s="226">
        <f t="shared" si="28"/>
        <v>0</v>
      </c>
      <c r="Q42" s="226">
        <f t="shared" si="28"/>
        <v>0</v>
      </c>
      <c r="R42" s="226">
        <f t="shared" si="28"/>
        <v>0</v>
      </c>
      <c r="S42" s="226">
        <f t="shared" si="28"/>
        <v>0</v>
      </c>
      <c r="T42" s="226">
        <f t="shared" si="28"/>
        <v>0</v>
      </c>
      <c r="U42" s="226">
        <f t="shared" si="28"/>
        <v>3.5632302211009687E-2</v>
      </c>
      <c r="V42" s="226">
        <f t="shared" si="28"/>
        <v>3.5858251558097853E-2</v>
      </c>
      <c r="W42" s="226">
        <f t="shared" si="28"/>
        <v>3.5858251558097853E-2</v>
      </c>
      <c r="X42" s="226">
        <f t="shared" si="28"/>
        <v>3.6084200905186034E-2</v>
      </c>
      <c r="Y42" s="226">
        <f t="shared" si="28"/>
        <v>3.6084200905186034E-2</v>
      </c>
      <c r="Z42" s="226">
        <f t="shared" si="28"/>
        <v>3.6310150252274201E-2</v>
      </c>
      <c r="AA42" s="226">
        <f t="shared" si="28"/>
        <v>3.6310150252274201E-2</v>
      </c>
      <c r="AB42" s="226">
        <f t="shared" si="28"/>
        <v>3.6662795846665569E-2</v>
      </c>
      <c r="AC42" s="226">
        <f t="shared" si="28"/>
        <v>3.6888745193753736E-2</v>
      </c>
      <c r="AD42" s="226">
        <f t="shared" si="28"/>
        <v>3.6888745193753736E-2</v>
      </c>
      <c r="AE42" s="226">
        <f t="shared" si="28"/>
        <v>3.711469454084191E-2</v>
      </c>
      <c r="AF42" s="226">
        <f t="shared" si="28"/>
        <v>3.711469454084191E-2</v>
      </c>
      <c r="AG42" s="226">
        <f t="shared" si="28"/>
        <v>3.711469454084191E-2</v>
      </c>
      <c r="AH42" s="226">
        <f t="shared" si="28"/>
        <v>3.7340643887930083E-2</v>
      </c>
      <c r="AI42" s="226">
        <f t="shared" si="28"/>
        <v>3.7340643887930083E-2</v>
      </c>
      <c r="AJ42" s="226">
        <f t="shared" si="28"/>
        <v>3.7623080571790299E-2</v>
      </c>
      <c r="AK42" s="226">
        <f t="shared" si="28"/>
        <v>3.7623080571790299E-2</v>
      </c>
      <c r="AL42" s="226">
        <f t="shared" si="28"/>
        <v>3.7623080571790299E-2</v>
      </c>
      <c r="AM42" s="226">
        <f t="shared" si="28"/>
        <v>3.7905517255650514E-2</v>
      </c>
      <c r="AN42" s="226">
        <f t="shared" si="28"/>
        <v>3.8258162850041876E-2</v>
      </c>
      <c r="AO42" s="226">
        <f t="shared" si="28"/>
        <v>3.8258162850041876E-2</v>
      </c>
      <c r="AP42" s="226">
        <f t="shared" si="28"/>
        <v>3.8540599533902091E-2</v>
      </c>
      <c r="AQ42" s="226">
        <f t="shared" si="28"/>
        <v>3.8540599533902091E-2</v>
      </c>
      <c r="AR42" s="226">
        <f t="shared" si="28"/>
        <v>3.8823036217762313E-2</v>
      </c>
      <c r="AS42" s="226">
        <f t="shared" si="28"/>
        <v>3.8823036217762313E-2</v>
      </c>
      <c r="AT42" s="226">
        <f t="shared" ref="AT42" si="29">AT40-AT41</f>
        <v>3.8823036217762313E-2</v>
      </c>
    </row>
    <row r="43" spans="1:46">
      <c r="D43"/>
      <c r="E43"/>
    </row>
    <row r="44" spans="1:46">
      <c r="D44"/>
      <c r="E44"/>
    </row>
    <row r="45" spans="1:46" ht="16" thickBot="1">
      <c r="A45" s="32" t="s">
        <v>27</v>
      </c>
      <c r="B45" s="32"/>
      <c r="C45" s="32"/>
      <c r="D45" s="32"/>
      <c r="E45" s="3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1"/>
      <c r="AE45" s="1"/>
    </row>
    <row r="46" spans="1:46" ht="14" customHeight="1">
      <c r="B46" s="266" t="s">
        <v>336</v>
      </c>
      <c r="C46" s="266"/>
      <c r="D46" s="266"/>
      <c r="E46" s="214"/>
      <c r="F46" s="268" t="s">
        <v>85</v>
      </c>
      <c r="G46" s="268" t="s">
        <v>358</v>
      </c>
      <c r="H46" s="268" t="s">
        <v>337</v>
      </c>
      <c r="I46" s="268" t="s">
        <v>338</v>
      </c>
      <c r="J46" s="268" t="s">
        <v>359</v>
      </c>
      <c r="K46" s="268" t="s">
        <v>339</v>
      </c>
      <c r="L46" s="268"/>
      <c r="M46" s="268"/>
      <c r="N46" s="268"/>
      <c r="O46" s="268"/>
      <c r="P46" s="268" t="s">
        <v>340</v>
      </c>
      <c r="Q46" s="268" t="s">
        <v>341</v>
      </c>
      <c r="R46" s="151" t="s">
        <v>342</v>
      </c>
      <c r="S46" s="151" t="s">
        <v>343</v>
      </c>
      <c r="T46" s="151" t="s">
        <v>235</v>
      </c>
      <c r="U46" s="151" t="s">
        <v>344</v>
      </c>
      <c r="V46" s="151" t="s">
        <v>345</v>
      </c>
      <c r="W46" s="151" t="s">
        <v>360</v>
      </c>
      <c r="X46" s="267" t="s">
        <v>361</v>
      </c>
      <c r="Y46" s="267"/>
      <c r="Z46" s="267" t="s">
        <v>362</v>
      </c>
      <c r="AA46" s="267"/>
      <c r="AB46" s="269" t="s">
        <v>354</v>
      </c>
      <c r="AC46" s="151" t="s">
        <v>363</v>
      </c>
      <c r="AD46" s="54"/>
    </row>
    <row r="47" spans="1:46" ht="17">
      <c r="B47" s="266"/>
      <c r="C47" s="266"/>
      <c r="D47" s="266"/>
      <c r="E47" s="214"/>
      <c r="F47" s="268"/>
      <c r="G47" s="268"/>
      <c r="H47" s="268"/>
      <c r="I47" s="268"/>
      <c r="J47" s="268"/>
      <c r="K47" s="62">
        <v>2025</v>
      </c>
      <c r="L47" s="62">
        <v>2024</v>
      </c>
      <c r="M47" s="62">
        <v>2023</v>
      </c>
      <c r="N47" s="62">
        <v>2022</v>
      </c>
      <c r="O47" s="62">
        <v>2021</v>
      </c>
      <c r="P47" s="268"/>
      <c r="Q47" s="268"/>
      <c r="R47" s="212" t="s">
        <v>346</v>
      </c>
      <c r="S47" s="212" t="s">
        <v>347</v>
      </c>
      <c r="T47" s="212" t="s">
        <v>348</v>
      </c>
      <c r="U47" s="212" t="s">
        <v>349</v>
      </c>
      <c r="V47" s="212" t="s">
        <v>350</v>
      </c>
      <c r="W47" s="212" t="s">
        <v>351</v>
      </c>
      <c r="X47" s="212" t="s">
        <v>366</v>
      </c>
      <c r="Y47" s="212" t="s">
        <v>352</v>
      </c>
      <c r="Z47" s="212"/>
      <c r="AA47" s="212" t="s">
        <v>353</v>
      </c>
      <c r="AB47" s="269"/>
      <c r="AC47" s="209" t="s">
        <v>355</v>
      </c>
      <c r="AD47" s="209"/>
    </row>
    <row r="48" spans="1:46" ht="14">
      <c r="B48" t="str">
        <f>$C$12</f>
        <v>120th Avenue Interchange</v>
      </c>
      <c r="F48" s="109" t="s">
        <v>86</v>
      </c>
      <c r="G48" s="22" t="s">
        <v>365</v>
      </c>
      <c r="H48" s="109" t="s">
        <v>364</v>
      </c>
      <c r="I48" s="109" t="s">
        <v>69</v>
      </c>
      <c r="J48" s="109">
        <v>0.111625</v>
      </c>
      <c r="K48" s="33">
        <v>0</v>
      </c>
      <c r="L48" s="33">
        <v>0</v>
      </c>
      <c r="M48" s="33">
        <v>1</v>
      </c>
      <c r="N48" s="33">
        <v>0</v>
      </c>
      <c r="O48" s="33">
        <v>0</v>
      </c>
      <c r="P48" s="109" t="s">
        <v>356</v>
      </c>
      <c r="Q48" s="58" t="str">
        <f>IF($P48="GT","GATES",IF($P48="XB","PASS",IF($P48="FL","LIGHTS")))</f>
        <v>GATES</v>
      </c>
      <c r="R48" s="33">
        <v>10</v>
      </c>
      <c r="S48" s="33">
        <v>1</v>
      </c>
      <c r="T48" s="33">
        <v>60</v>
      </c>
      <c r="U48" s="33">
        <v>2</v>
      </c>
      <c r="V48" s="33">
        <v>1050</v>
      </c>
      <c r="W48" s="22">
        <f>R48*0.5</f>
        <v>5</v>
      </c>
      <c r="X48" s="169"/>
      <c r="Y48" s="169">
        <v>5</v>
      </c>
      <c r="Z48" s="169" t="s">
        <v>24</v>
      </c>
      <c r="AA48" s="188">
        <f>IF(Z48="YES",1,IF(Z48="NO",2))</f>
        <v>1</v>
      </c>
      <c r="AB48" s="22">
        <f>SUM(K48:O48)</f>
        <v>1</v>
      </c>
      <c r="AC48" s="33">
        <v>0</v>
      </c>
    </row>
    <row r="49" spans="1:46" ht="14">
      <c r="B49" t="str">
        <f>$C$13</f>
        <v>124th Avenue Intersection</v>
      </c>
      <c r="F49" s="109" t="s">
        <v>87</v>
      </c>
      <c r="G49" s="22" t="s">
        <v>365</v>
      </c>
      <c r="H49" s="109" t="s">
        <v>364</v>
      </c>
      <c r="I49" s="109" t="s">
        <v>69</v>
      </c>
      <c r="J49" s="109">
        <v>4.0619999999999996E-3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109" t="s">
        <v>356</v>
      </c>
      <c r="Q49" s="58" t="str">
        <f>IF($P49="GT","GATES",IF($P49="XB","PASS",IF($P49="FL","LIGHTS")))</f>
        <v>GATES</v>
      </c>
      <c r="R49" s="33">
        <v>10</v>
      </c>
      <c r="S49" s="33">
        <v>2</v>
      </c>
      <c r="T49" s="33">
        <v>60</v>
      </c>
      <c r="U49" s="33">
        <v>2</v>
      </c>
      <c r="V49" s="33">
        <v>4500</v>
      </c>
      <c r="W49" s="22">
        <f>R49*0.5</f>
        <v>5</v>
      </c>
      <c r="X49" s="169"/>
      <c r="Y49" s="169">
        <v>6</v>
      </c>
      <c r="Z49" s="169" t="s">
        <v>24</v>
      </c>
      <c r="AA49" s="188">
        <f t="shared" ref="AA49" si="30">IF(Z49="YES",1,IF(Z49="NO",2))</f>
        <v>1</v>
      </c>
      <c r="AB49" s="22">
        <f t="shared" ref="AB49" si="31">SUM(K49:O49)</f>
        <v>0</v>
      </c>
      <c r="AC49" s="33">
        <v>0</v>
      </c>
    </row>
    <row r="50" spans="1:46">
      <c r="C50" s="90" t="s">
        <v>460</v>
      </c>
      <c r="F50"/>
    </row>
    <row r="52" spans="1:46">
      <c r="A52" s="23" t="s">
        <v>367</v>
      </c>
    </row>
    <row r="53" spans="1:46">
      <c r="B53" t="str">
        <f>$C$12</f>
        <v>120th Avenue Interchange</v>
      </c>
    </row>
    <row r="54" spans="1:46">
      <c r="C54" s="1" t="s">
        <v>314</v>
      </c>
      <c r="F54" s="22">
        <f>IF($Q48="GATES",0.001088,IF($Q48="LIGHTS",0.003646,IF($Q48="PASS",0.002268)))</f>
        <v>1.088E-3</v>
      </c>
      <c r="G54" s="22">
        <f t="shared" ref="G54:AS54" si="32">IF($Q48="GATES",0.001088,IF($Q48="LIGHTS",0.003646,IF($Q48="PASS",0.002268)))</f>
        <v>1.088E-3</v>
      </c>
      <c r="H54" s="22">
        <f t="shared" si="32"/>
        <v>1.088E-3</v>
      </c>
      <c r="I54" s="22">
        <f t="shared" si="32"/>
        <v>1.088E-3</v>
      </c>
      <c r="J54" s="22">
        <f t="shared" si="32"/>
        <v>1.088E-3</v>
      </c>
      <c r="K54" s="22">
        <f t="shared" si="32"/>
        <v>1.088E-3</v>
      </c>
      <c r="L54" s="22">
        <f t="shared" si="32"/>
        <v>1.088E-3</v>
      </c>
      <c r="M54" s="22">
        <f t="shared" si="32"/>
        <v>1.088E-3</v>
      </c>
      <c r="N54" s="22">
        <f t="shared" si="32"/>
        <v>1.088E-3</v>
      </c>
      <c r="O54" s="22">
        <f t="shared" si="32"/>
        <v>1.088E-3</v>
      </c>
      <c r="P54" s="22">
        <f t="shared" si="32"/>
        <v>1.088E-3</v>
      </c>
      <c r="Q54" s="22">
        <f t="shared" si="32"/>
        <v>1.088E-3</v>
      </c>
      <c r="R54" s="22">
        <f t="shared" si="32"/>
        <v>1.088E-3</v>
      </c>
      <c r="S54" s="22">
        <f t="shared" si="32"/>
        <v>1.088E-3</v>
      </c>
      <c r="T54" s="22">
        <f t="shared" si="32"/>
        <v>1.088E-3</v>
      </c>
      <c r="U54" s="22">
        <f t="shared" si="32"/>
        <v>1.088E-3</v>
      </c>
      <c r="V54" s="22">
        <f t="shared" si="32"/>
        <v>1.088E-3</v>
      </c>
      <c r="W54" s="22">
        <f t="shared" si="32"/>
        <v>1.088E-3</v>
      </c>
      <c r="X54" s="22">
        <f t="shared" si="32"/>
        <v>1.088E-3</v>
      </c>
      <c r="Y54" s="22">
        <f t="shared" si="32"/>
        <v>1.088E-3</v>
      </c>
      <c r="Z54" s="22">
        <f t="shared" si="32"/>
        <v>1.088E-3</v>
      </c>
      <c r="AA54" s="22">
        <f t="shared" si="32"/>
        <v>1.088E-3</v>
      </c>
      <c r="AB54" s="22">
        <f t="shared" si="32"/>
        <v>1.088E-3</v>
      </c>
      <c r="AC54" s="22">
        <f t="shared" si="32"/>
        <v>1.088E-3</v>
      </c>
      <c r="AD54" s="22">
        <f t="shared" si="32"/>
        <v>1.088E-3</v>
      </c>
      <c r="AE54" s="22">
        <f t="shared" si="32"/>
        <v>1.088E-3</v>
      </c>
      <c r="AF54" s="22">
        <f t="shared" si="32"/>
        <v>1.088E-3</v>
      </c>
      <c r="AG54" s="22">
        <f t="shared" si="32"/>
        <v>1.088E-3</v>
      </c>
      <c r="AH54" s="22">
        <f t="shared" si="32"/>
        <v>1.088E-3</v>
      </c>
      <c r="AI54" s="22">
        <f t="shared" si="32"/>
        <v>1.088E-3</v>
      </c>
      <c r="AJ54" s="22">
        <f t="shared" si="32"/>
        <v>1.088E-3</v>
      </c>
      <c r="AK54" s="22">
        <f t="shared" si="32"/>
        <v>1.088E-3</v>
      </c>
      <c r="AL54" s="22">
        <f t="shared" si="32"/>
        <v>1.088E-3</v>
      </c>
      <c r="AM54" s="22">
        <f t="shared" si="32"/>
        <v>1.088E-3</v>
      </c>
      <c r="AN54" s="22">
        <f t="shared" si="32"/>
        <v>1.088E-3</v>
      </c>
      <c r="AO54" s="22">
        <f t="shared" si="32"/>
        <v>1.088E-3</v>
      </c>
      <c r="AP54" s="22">
        <f t="shared" si="32"/>
        <v>1.088E-3</v>
      </c>
      <c r="AQ54" s="22">
        <f t="shared" si="32"/>
        <v>1.088E-3</v>
      </c>
      <c r="AR54" s="22">
        <f t="shared" si="32"/>
        <v>1.088E-3</v>
      </c>
      <c r="AS54" s="22">
        <f t="shared" si="32"/>
        <v>1.088E-3</v>
      </c>
      <c r="AT54" s="22">
        <f t="shared" ref="AT54" si="33">IF($Q48="GATES",0.001088,IF($Q48="LIGHTS",0.003646,IF($Q48="PASS",0.002268)))</f>
        <v>1.088E-3</v>
      </c>
    </row>
    <row r="55" spans="1:46">
      <c r="C55" s="1" t="s">
        <v>315</v>
      </c>
      <c r="F55" s="48">
        <f t="shared" ref="F55:H55" si="34">$J55+(($AE55-$J55)/($AE$4-$J$4))*(F$4-$J$4)</f>
        <v>3105.9523809523807</v>
      </c>
      <c r="G55" s="48">
        <f t="shared" si="34"/>
        <v>3190.7142857142858</v>
      </c>
      <c r="H55" s="48">
        <f t="shared" si="34"/>
        <v>3275.4761904761904</v>
      </c>
      <c r="I55" s="48">
        <f>$J55+(($AE55-$J55)/($AE$4-$J$4))*(I$4-$J$4)</f>
        <v>3360.2380952380954</v>
      </c>
      <c r="J55" s="213">
        <f>'Travel Time Savings'!E44</f>
        <v>3445</v>
      </c>
      <c r="K55" s="48">
        <f>$J55+(($AE55-$J55)/($AE$4-$J$4))*(K$4-$J$4)</f>
        <v>3529.7619047619046</v>
      </c>
      <c r="L55" s="48">
        <f t="shared" ref="L55:AT55" si="35">$J55+(($AE55-$J55)/($AE$4-$J$4))*(L$4-$J$4)</f>
        <v>3614.5238095238096</v>
      </c>
      <c r="M55" s="48">
        <f t="shared" si="35"/>
        <v>3699.2857142857142</v>
      </c>
      <c r="N55" s="48">
        <f t="shared" si="35"/>
        <v>3784.0476190476193</v>
      </c>
      <c r="O55" s="48">
        <f t="shared" si="35"/>
        <v>3868.8095238095239</v>
      </c>
      <c r="P55" s="48">
        <f t="shared" si="35"/>
        <v>3953.5714285714284</v>
      </c>
      <c r="Q55" s="48">
        <f t="shared" si="35"/>
        <v>4038.333333333333</v>
      </c>
      <c r="R55" s="48">
        <f t="shared" si="35"/>
        <v>4123.0952380952385</v>
      </c>
      <c r="S55" s="48">
        <f t="shared" si="35"/>
        <v>4207.8571428571431</v>
      </c>
      <c r="T55" s="48">
        <f t="shared" si="35"/>
        <v>4292.6190476190477</v>
      </c>
      <c r="U55" s="48">
        <f t="shared" si="35"/>
        <v>4377.3809523809523</v>
      </c>
      <c r="V55" s="48">
        <f t="shared" si="35"/>
        <v>4462.1428571428569</v>
      </c>
      <c r="W55" s="48">
        <f t="shared" si="35"/>
        <v>4546.9047619047615</v>
      </c>
      <c r="X55" s="48">
        <f t="shared" si="35"/>
        <v>4631.6666666666661</v>
      </c>
      <c r="Y55" s="48">
        <f t="shared" si="35"/>
        <v>4716.4285714285716</v>
      </c>
      <c r="Z55" s="48">
        <f t="shared" si="35"/>
        <v>4801.1904761904761</v>
      </c>
      <c r="AA55" s="48">
        <f t="shared" si="35"/>
        <v>4885.9523809523807</v>
      </c>
      <c r="AB55" s="48">
        <f t="shared" si="35"/>
        <v>4970.7142857142862</v>
      </c>
      <c r="AC55" s="48">
        <f t="shared" si="35"/>
        <v>5055.4761904761908</v>
      </c>
      <c r="AD55" s="48">
        <f t="shared" si="35"/>
        <v>5140.2380952380954</v>
      </c>
      <c r="AE55" s="91">
        <f>'Travel Time Savings'!F44</f>
        <v>5225</v>
      </c>
      <c r="AF55" s="48">
        <f t="shared" si="35"/>
        <v>5309.7619047619046</v>
      </c>
      <c r="AG55" s="48">
        <f t="shared" si="35"/>
        <v>5394.5238095238092</v>
      </c>
      <c r="AH55" s="48">
        <f t="shared" si="35"/>
        <v>5479.2857142857138</v>
      </c>
      <c r="AI55" s="48">
        <f t="shared" si="35"/>
        <v>5564.0476190476184</v>
      </c>
      <c r="AJ55" s="48">
        <f t="shared" si="35"/>
        <v>5648.8095238095239</v>
      </c>
      <c r="AK55" s="48">
        <f t="shared" si="35"/>
        <v>5733.5714285714284</v>
      </c>
      <c r="AL55" s="48">
        <f t="shared" si="35"/>
        <v>5818.333333333333</v>
      </c>
      <c r="AM55" s="48">
        <f t="shared" si="35"/>
        <v>5903.0952380952385</v>
      </c>
      <c r="AN55" s="48">
        <f t="shared" si="35"/>
        <v>5987.8571428571431</v>
      </c>
      <c r="AO55" s="48">
        <f t="shared" si="35"/>
        <v>6072.6190476190477</v>
      </c>
      <c r="AP55" s="48">
        <f t="shared" si="35"/>
        <v>6157.3809523809523</v>
      </c>
      <c r="AQ55" s="48">
        <f t="shared" si="35"/>
        <v>6242.1428571428569</v>
      </c>
      <c r="AR55" s="48">
        <f t="shared" si="35"/>
        <v>6326.9047619047615</v>
      </c>
      <c r="AS55" s="48">
        <f t="shared" si="35"/>
        <v>6411.6666666666661</v>
      </c>
      <c r="AT55" s="48">
        <f t="shared" si="35"/>
        <v>6496.4285714285716</v>
      </c>
    </row>
    <row r="56" spans="1:46">
      <c r="C56" s="1" t="s">
        <v>316</v>
      </c>
      <c r="F56" s="22">
        <f>$R$48</f>
        <v>10</v>
      </c>
      <c r="G56" s="22">
        <f t="shared" ref="G56:AT56" si="36">$R$48</f>
        <v>10</v>
      </c>
      <c r="H56" s="22">
        <f t="shared" si="36"/>
        <v>10</v>
      </c>
      <c r="I56" s="22">
        <f t="shared" si="36"/>
        <v>10</v>
      </c>
      <c r="J56" s="22">
        <f t="shared" si="36"/>
        <v>10</v>
      </c>
      <c r="K56" s="22">
        <f t="shared" si="36"/>
        <v>10</v>
      </c>
      <c r="L56" s="22">
        <f t="shared" si="36"/>
        <v>10</v>
      </c>
      <c r="M56" s="22">
        <f t="shared" si="36"/>
        <v>10</v>
      </c>
      <c r="N56" s="22">
        <f t="shared" si="36"/>
        <v>10</v>
      </c>
      <c r="O56" s="22">
        <f t="shared" si="36"/>
        <v>10</v>
      </c>
      <c r="P56" s="22">
        <f t="shared" si="36"/>
        <v>10</v>
      </c>
      <c r="Q56" s="22">
        <f t="shared" si="36"/>
        <v>10</v>
      </c>
      <c r="R56" s="22">
        <f t="shared" si="36"/>
        <v>10</v>
      </c>
      <c r="S56" s="22">
        <f t="shared" si="36"/>
        <v>10</v>
      </c>
      <c r="T56" s="22">
        <f t="shared" si="36"/>
        <v>10</v>
      </c>
      <c r="U56" s="22">
        <f t="shared" si="36"/>
        <v>10</v>
      </c>
      <c r="V56" s="22">
        <f t="shared" si="36"/>
        <v>10</v>
      </c>
      <c r="W56" s="22">
        <f t="shared" si="36"/>
        <v>10</v>
      </c>
      <c r="X56" s="22">
        <f t="shared" si="36"/>
        <v>10</v>
      </c>
      <c r="Y56" s="22">
        <f t="shared" si="36"/>
        <v>10</v>
      </c>
      <c r="Z56" s="22">
        <f t="shared" si="36"/>
        <v>10</v>
      </c>
      <c r="AA56" s="22">
        <f t="shared" si="36"/>
        <v>10</v>
      </c>
      <c r="AB56" s="22">
        <f t="shared" si="36"/>
        <v>10</v>
      </c>
      <c r="AC56" s="22">
        <f t="shared" si="36"/>
        <v>10</v>
      </c>
      <c r="AD56" s="22">
        <f t="shared" si="36"/>
        <v>10</v>
      </c>
      <c r="AE56" s="22">
        <f t="shared" si="36"/>
        <v>10</v>
      </c>
      <c r="AF56" s="22">
        <f t="shared" si="36"/>
        <v>10</v>
      </c>
      <c r="AG56" s="22">
        <f t="shared" si="36"/>
        <v>10</v>
      </c>
      <c r="AH56" s="22">
        <f t="shared" si="36"/>
        <v>10</v>
      </c>
      <c r="AI56" s="22">
        <f t="shared" si="36"/>
        <v>10</v>
      </c>
      <c r="AJ56" s="22">
        <f t="shared" si="36"/>
        <v>10</v>
      </c>
      <c r="AK56" s="22">
        <f t="shared" si="36"/>
        <v>10</v>
      </c>
      <c r="AL56" s="22">
        <f t="shared" si="36"/>
        <v>10</v>
      </c>
      <c r="AM56" s="22">
        <f t="shared" si="36"/>
        <v>10</v>
      </c>
      <c r="AN56" s="22">
        <f t="shared" si="36"/>
        <v>10</v>
      </c>
      <c r="AO56" s="22">
        <f t="shared" si="36"/>
        <v>10</v>
      </c>
      <c r="AP56" s="22">
        <f t="shared" si="36"/>
        <v>10</v>
      </c>
      <c r="AQ56" s="22">
        <f t="shared" si="36"/>
        <v>10</v>
      </c>
      <c r="AR56" s="22">
        <f t="shared" si="36"/>
        <v>10</v>
      </c>
      <c r="AS56" s="22">
        <f t="shared" si="36"/>
        <v>10</v>
      </c>
      <c r="AT56" s="22">
        <f t="shared" si="36"/>
        <v>10</v>
      </c>
    </row>
    <row r="57" spans="1:46">
      <c r="C57" s="1" t="s">
        <v>317</v>
      </c>
      <c r="E57" s="22">
        <f>IF($Q48="GATES",0.3116,IF($Q48="PASS",0.3334,IF($Q48="LIGHTS",0.2953)))</f>
        <v>0.31159999999999999</v>
      </c>
      <c r="F57" s="206">
        <f>((F55*F56+0.2)/0.2)^($E57)</f>
        <v>41.454131645803955</v>
      </c>
      <c r="G57" s="206">
        <f t="shared" ref="G57:AS57" si="37">((G55*G56+0.2)/0.2)^($E57)</f>
        <v>41.803377932801062</v>
      </c>
      <c r="H57" s="206">
        <f t="shared" si="37"/>
        <v>42.146294481056195</v>
      </c>
      <c r="I57" s="206">
        <f t="shared" si="37"/>
        <v>42.483155460254793</v>
      </c>
      <c r="J57" s="206">
        <f t="shared" si="37"/>
        <v>42.814216602653438</v>
      </c>
      <c r="K57" s="206">
        <f t="shared" si="37"/>
        <v>43.139716862757538</v>
      </c>
      <c r="L57" s="206">
        <f t="shared" si="37"/>
        <v>43.459879891608054</v>
      </c>
      <c r="M57" s="206">
        <f t="shared" si="37"/>
        <v>43.774915350219437</v>
      </c>
      <c r="N57" s="206">
        <f t="shared" si="37"/>
        <v>44.085020082978296</v>
      </c>
      <c r="O57" s="206">
        <f t="shared" si="37"/>
        <v>44.390379168716237</v>
      </c>
      <c r="P57" s="206">
        <f t="shared" si="37"/>
        <v>44.691166864593605</v>
      </c>
      <c r="Q57" s="206">
        <f t="shared" si="37"/>
        <v>44.987547455775349</v>
      </c>
      <c r="R57" s="206">
        <f t="shared" si="37"/>
        <v>45.279676022069737</v>
      </c>
      <c r="S57" s="206">
        <f t="shared" si="37"/>
        <v>45.567699131175615</v>
      </c>
      <c r="T57" s="206">
        <f t="shared" si="37"/>
        <v>45.851755466892008</v>
      </c>
      <c r="U57" s="206">
        <f t="shared" si="37"/>
        <v>46.131976399548549</v>
      </c>
      <c r="V57" s="206">
        <f t="shared" si="37"/>
        <v>46.408486504980381</v>
      </c>
      <c r="W57" s="206">
        <f t="shared" si="37"/>
        <v>46.681404037572932</v>
      </c>
      <c r="X57" s="206">
        <f t="shared" si="37"/>
        <v>46.950841362217503</v>
      </c>
      <c r="Y57" s="206">
        <f t="shared" si="37"/>
        <v>47.216905349429233</v>
      </c>
      <c r="Z57" s="206">
        <f t="shared" si="37"/>
        <v>47.479697737370856</v>
      </c>
      <c r="AA57" s="206">
        <f t="shared" si="37"/>
        <v>47.739315464086999</v>
      </c>
      <c r="AB57" s="206">
        <f t="shared" si="37"/>
        <v>47.995850972871402</v>
      </c>
      <c r="AC57" s="206">
        <f t="shared" si="37"/>
        <v>48.249392493358847</v>
      </c>
      <c r="AD57" s="206">
        <f t="shared" si="37"/>
        <v>48.500024300643922</v>
      </c>
      <c r="AE57" s="206">
        <f t="shared" si="37"/>
        <v>48.747826954476899</v>
      </c>
      <c r="AF57" s="206">
        <f t="shared" si="37"/>
        <v>48.992877520365028</v>
      </c>
      <c r="AG57" s="206">
        <f t="shared" si="37"/>
        <v>49.23524977421382</v>
      </c>
      <c r="AH57" s="206">
        <f t="shared" si="37"/>
        <v>49.475014391971811</v>
      </c>
      <c r="AI57" s="206">
        <f t="shared" si="37"/>
        <v>49.712239125591701</v>
      </c>
      <c r="AJ57" s="206">
        <f t="shared" si="37"/>
        <v>49.946988966487709</v>
      </c>
      <c r="AK57" s="206">
        <f t="shared" si="37"/>
        <v>50.179326297551015</v>
      </c>
      <c r="AL57" s="206">
        <f t="shared" si="37"/>
        <v>50.409311034680947</v>
      </c>
      <c r="AM57" s="206">
        <f t="shared" si="37"/>
        <v>50.637000758696239</v>
      </c>
      <c r="AN57" s="206">
        <f t="shared" si="37"/>
        <v>50.862450838408655</v>
      </c>
      <c r="AO57" s="206">
        <f t="shared" si="37"/>
        <v>51.085714545567143</v>
      </c>
      <c r="AP57" s="206">
        <f t="shared" si="37"/>
        <v>51.306843162314998</v>
      </c>
      <c r="AQ57" s="206">
        <f t="shared" si="37"/>
        <v>51.525886081743515</v>
      </c>
      <c r="AR57" s="206">
        <f t="shared" si="37"/>
        <v>51.742890902073192</v>
      </c>
      <c r="AS57" s="206">
        <f t="shared" si="37"/>
        <v>51.957903514945947</v>
      </c>
      <c r="AT57" s="206">
        <f t="shared" ref="AT57" si="38">((AT55*AT56+0.2)/0.2)^($E57)</f>
        <v>52.170968188268887</v>
      </c>
    </row>
    <row r="58" spans="1:46">
      <c r="C58" s="1" t="s">
        <v>318</v>
      </c>
      <c r="E58" s="22">
        <f>IF($Q49="GATES",0.2912,IF($Q49="PASS",0.2094,IF($Q49="LIGHTS",0.1088)))</f>
        <v>0.29120000000000001</v>
      </c>
      <c r="F58" s="206">
        <f>EXP($E58*$S48)</f>
        <v>1.3380321636239008</v>
      </c>
      <c r="G58" s="206">
        <f t="shared" ref="G58:AS58" si="39">EXP($E58*$S48)</f>
        <v>1.3380321636239008</v>
      </c>
      <c r="H58" s="206">
        <f t="shared" si="39"/>
        <v>1.3380321636239008</v>
      </c>
      <c r="I58" s="206">
        <f t="shared" si="39"/>
        <v>1.3380321636239008</v>
      </c>
      <c r="J58" s="206">
        <f t="shared" si="39"/>
        <v>1.3380321636239008</v>
      </c>
      <c r="K58" s="206">
        <f t="shared" si="39"/>
        <v>1.3380321636239008</v>
      </c>
      <c r="L58" s="206">
        <f t="shared" si="39"/>
        <v>1.3380321636239008</v>
      </c>
      <c r="M58" s="206">
        <f t="shared" si="39"/>
        <v>1.3380321636239008</v>
      </c>
      <c r="N58" s="206">
        <f t="shared" si="39"/>
        <v>1.3380321636239008</v>
      </c>
      <c r="O58" s="206">
        <f t="shared" si="39"/>
        <v>1.3380321636239008</v>
      </c>
      <c r="P58" s="206">
        <f t="shared" si="39"/>
        <v>1.3380321636239008</v>
      </c>
      <c r="Q58" s="206">
        <f t="shared" si="39"/>
        <v>1.3380321636239008</v>
      </c>
      <c r="R58" s="206">
        <f t="shared" si="39"/>
        <v>1.3380321636239008</v>
      </c>
      <c r="S58" s="206">
        <f t="shared" si="39"/>
        <v>1.3380321636239008</v>
      </c>
      <c r="T58" s="206">
        <f t="shared" si="39"/>
        <v>1.3380321636239008</v>
      </c>
      <c r="U58" s="206">
        <f t="shared" si="39"/>
        <v>1.3380321636239008</v>
      </c>
      <c r="V58" s="206">
        <f t="shared" si="39"/>
        <v>1.3380321636239008</v>
      </c>
      <c r="W58" s="206">
        <f t="shared" si="39"/>
        <v>1.3380321636239008</v>
      </c>
      <c r="X58" s="206">
        <f t="shared" si="39"/>
        <v>1.3380321636239008</v>
      </c>
      <c r="Y58" s="206">
        <f t="shared" si="39"/>
        <v>1.3380321636239008</v>
      </c>
      <c r="Z58" s="206">
        <f t="shared" si="39"/>
        <v>1.3380321636239008</v>
      </c>
      <c r="AA58" s="206">
        <f t="shared" si="39"/>
        <v>1.3380321636239008</v>
      </c>
      <c r="AB58" s="206">
        <f t="shared" si="39"/>
        <v>1.3380321636239008</v>
      </c>
      <c r="AC58" s="206">
        <f t="shared" si="39"/>
        <v>1.3380321636239008</v>
      </c>
      <c r="AD58" s="206">
        <f t="shared" si="39"/>
        <v>1.3380321636239008</v>
      </c>
      <c r="AE58" s="206">
        <f t="shared" si="39"/>
        <v>1.3380321636239008</v>
      </c>
      <c r="AF58" s="206">
        <f t="shared" si="39"/>
        <v>1.3380321636239008</v>
      </c>
      <c r="AG58" s="206">
        <f t="shared" si="39"/>
        <v>1.3380321636239008</v>
      </c>
      <c r="AH58" s="206">
        <f t="shared" si="39"/>
        <v>1.3380321636239008</v>
      </c>
      <c r="AI58" s="206">
        <f t="shared" si="39"/>
        <v>1.3380321636239008</v>
      </c>
      <c r="AJ58" s="206">
        <f t="shared" si="39"/>
        <v>1.3380321636239008</v>
      </c>
      <c r="AK58" s="206">
        <f t="shared" si="39"/>
        <v>1.3380321636239008</v>
      </c>
      <c r="AL58" s="206">
        <f t="shared" si="39"/>
        <v>1.3380321636239008</v>
      </c>
      <c r="AM58" s="206">
        <f t="shared" si="39"/>
        <v>1.3380321636239008</v>
      </c>
      <c r="AN58" s="206">
        <f t="shared" si="39"/>
        <v>1.3380321636239008</v>
      </c>
      <c r="AO58" s="206">
        <f t="shared" si="39"/>
        <v>1.3380321636239008</v>
      </c>
      <c r="AP58" s="206">
        <f t="shared" si="39"/>
        <v>1.3380321636239008</v>
      </c>
      <c r="AQ58" s="206">
        <f t="shared" si="39"/>
        <v>1.3380321636239008</v>
      </c>
      <c r="AR58" s="206">
        <f t="shared" si="39"/>
        <v>1.3380321636239008</v>
      </c>
      <c r="AS58" s="206">
        <f t="shared" si="39"/>
        <v>1.3380321636239008</v>
      </c>
      <c r="AT58" s="206">
        <f t="shared" ref="AT58" si="40">EXP($E58*$S48)</f>
        <v>1.3380321636239008</v>
      </c>
    </row>
    <row r="59" spans="1:46">
      <c r="C59" s="1" t="s">
        <v>319</v>
      </c>
      <c r="F59" s="22">
        <f>$W$48</f>
        <v>5</v>
      </c>
      <c r="G59" s="22">
        <f t="shared" ref="G59:AT59" si="41">$W$48</f>
        <v>5</v>
      </c>
      <c r="H59" s="22">
        <f t="shared" si="41"/>
        <v>5</v>
      </c>
      <c r="I59" s="22">
        <f t="shared" si="41"/>
        <v>5</v>
      </c>
      <c r="J59" s="22">
        <f t="shared" si="41"/>
        <v>5</v>
      </c>
      <c r="K59" s="22">
        <f t="shared" si="41"/>
        <v>5</v>
      </c>
      <c r="L59" s="22">
        <f t="shared" si="41"/>
        <v>5</v>
      </c>
      <c r="M59" s="22">
        <f t="shared" si="41"/>
        <v>5</v>
      </c>
      <c r="N59" s="22">
        <f t="shared" si="41"/>
        <v>5</v>
      </c>
      <c r="O59" s="22">
        <f t="shared" si="41"/>
        <v>5</v>
      </c>
      <c r="P59" s="22">
        <f t="shared" si="41"/>
        <v>5</v>
      </c>
      <c r="Q59" s="22">
        <f t="shared" si="41"/>
        <v>5</v>
      </c>
      <c r="R59" s="22">
        <f t="shared" si="41"/>
        <v>5</v>
      </c>
      <c r="S59" s="22">
        <f t="shared" si="41"/>
        <v>5</v>
      </c>
      <c r="T59" s="22">
        <f t="shared" si="41"/>
        <v>5</v>
      </c>
      <c r="U59" s="22">
        <f t="shared" si="41"/>
        <v>5</v>
      </c>
      <c r="V59" s="22">
        <f t="shared" si="41"/>
        <v>5</v>
      </c>
      <c r="W59" s="22">
        <f t="shared" si="41"/>
        <v>5</v>
      </c>
      <c r="X59" s="22">
        <f t="shared" si="41"/>
        <v>5</v>
      </c>
      <c r="Y59" s="22">
        <f t="shared" si="41"/>
        <v>5</v>
      </c>
      <c r="Z59" s="22">
        <f t="shared" si="41"/>
        <v>5</v>
      </c>
      <c r="AA59" s="22">
        <f t="shared" si="41"/>
        <v>5</v>
      </c>
      <c r="AB59" s="22">
        <f t="shared" si="41"/>
        <v>5</v>
      </c>
      <c r="AC59" s="22">
        <f t="shared" si="41"/>
        <v>5</v>
      </c>
      <c r="AD59" s="22">
        <f t="shared" si="41"/>
        <v>5</v>
      </c>
      <c r="AE59" s="22">
        <f t="shared" si="41"/>
        <v>5</v>
      </c>
      <c r="AF59" s="22">
        <f t="shared" si="41"/>
        <v>5</v>
      </c>
      <c r="AG59" s="22">
        <f t="shared" si="41"/>
        <v>5</v>
      </c>
      <c r="AH59" s="22">
        <f t="shared" si="41"/>
        <v>5</v>
      </c>
      <c r="AI59" s="22">
        <f t="shared" si="41"/>
        <v>5</v>
      </c>
      <c r="AJ59" s="22">
        <f t="shared" si="41"/>
        <v>5</v>
      </c>
      <c r="AK59" s="22">
        <f t="shared" si="41"/>
        <v>5</v>
      </c>
      <c r="AL59" s="22">
        <f t="shared" si="41"/>
        <v>5</v>
      </c>
      <c r="AM59" s="22">
        <f t="shared" si="41"/>
        <v>5</v>
      </c>
      <c r="AN59" s="22">
        <f t="shared" si="41"/>
        <v>5</v>
      </c>
      <c r="AO59" s="22">
        <f t="shared" si="41"/>
        <v>5</v>
      </c>
      <c r="AP59" s="22">
        <f t="shared" si="41"/>
        <v>5</v>
      </c>
      <c r="AQ59" s="22">
        <f t="shared" si="41"/>
        <v>5</v>
      </c>
      <c r="AR59" s="22">
        <f t="shared" si="41"/>
        <v>5</v>
      </c>
      <c r="AS59" s="22">
        <f t="shared" si="41"/>
        <v>5</v>
      </c>
      <c r="AT59" s="22">
        <f t="shared" si="41"/>
        <v>5</v>
      </c>
    </row>
    <row r="60" spans="1:46">
      <c r="C60" s="1" t="s">
        <v>320</v>
      </c>
      <c r="E60" t="str">
        <f>IF($Q48="GATES","",IF($Q48="PASS",0.1336,IF($Q48="LIGHTS",0.047)))</f>
        <v/>
      </c>
      <c r="F60" s="188">
        <f>IF($Q48="GATES",1,((F59+0.2)/0.2)^$E60)</f>
        <v>1</v>
      </c>
      <c r="G60" s="188">
        <f t="shared" ref="G60:AS60" si="42">IF($Q48="GATES",1,((G59+0.2)/0.2)^$E60)</f>
        <v>1</v>
      </c>
      <c r="H60" s="188">
        <f t="shared" si="42"/>
        <v>1</v>
      </c>
      <c r="I60" s="188">
        <f t="shared" si="42"/>
        <v>1</v>
      </c>
      <c r="J60" s="188">
        <f t="shared" si="42"/>
        <v>1</v>
      </c>
      <c r="K60" s="188">
        <f t="shared" si="42"/>
        <v>1</v>
      </c>
      <c r="L60" s="188">
        <f t="shared" si="42"/>
        <v>1</v>
      </c>
      <c r="M60" s="188">
        <f t="shared" si="42"/>
        <v>1</v>
      </c>
      <c r="N60" s="188">
        <f t="shared" si="42"/>
        <v>1</v>
      </c>
      <c r="O60" s="188">
        <f t="shared" si="42"/>
        <v>1</v>
      </c>
      <c r="P60" s="188">
        <f t="shared" si="42"/>
        <v>1</v>
      </c>
      <c r="Q60" s="188">
        <f t="shared" si="42"/>
        <v>1</v>
      </c>
      <c r="R60" s="188">
        <f t="shared" si="42"/>
        <v>1</v>
      </c>
      <c r="S60" s="188">
        <f t="shared" si="42"/>
        <v>1</v>
      </c>
      <c r="T60" s="188">
        <f t="shared" si="42"/>
        <v>1</v>
      </c>
      <c r="U60" s="188">
        <f t="shared" si="42"/>
        <v>1</v>
      </c>
      <c r="V60" s="188">
        <f t="shared" si="42"/>
        <v>1</v>
      </c>
      <c r="W60" s="188">
        <f t="shared" si="42"/>
        <v>1</v>
      </c>
      <c r="X60" s="188">
        <f t="shared" si="42"/>
        <v>1</v>
      </c>
      <c r="Y60" s="188">
        <f t="shared" si="42"/>
        <v>1</v>
      </c>
      <c r="Z60" s="188">
        <f t="shared" si="42"/>
        <v>1</v>
      </c>
      <c r="AA60" s="188">
        <f t="shared" si="42"/>
        <v>1</v>
      </c>
      <c r="AB60" s="188">
        <f t="shared" si="42"/>
        <v>1</v>
      </c>
      <c r="AC60" s="188">
        <f t="shared" si="42"/>
        <v>1</v>
      </c>
      <c r="AD60" s="188">
        <f t="shared" si="42"/>
        <v>1</v>
      </c>
      <c r="AE60" s="188">
        <f t="shared" si="42"/>
        <v>1</v>
      </c>
      <c r="AF60" s="188">
        <f t="shared" si="42"/>
        <v>1</v>
      </c>
      <c r="AG60" s="188">
        <f t="shared" si="42"/>
        <v>1</v>
      </c>
      <c r="AH60" s="188">
        <f t="shared" si="42"/>
        <v>1</v>
      </c>
      <c r="AI60" s="188">
        <f t="shared" si="42"/>
        <v>1</v>
      </c>
      <c r="AJ60" s="188">
        <f t="shared" si="42"/>
        <v>1</v>
      </c>
      <c r="AK60" s="188">
        <f t="shared" si="42"/>
        <v>1</v>
      </c>
      <c r="AL60" s="188">
        <f t="shared" si="42"/>
        <v>1</v>
      </c>
      <c r="AM60" s="188">
        <f t="shared" si="42"/>
        <v>1</v>
      </c>
      <c r="AN60" s="188">
        <f t="shared" si="42"/>
        <v>1</v>
      </c>
      <c r="AO60" s="188">
        <f t="shared" si="42"/>
        <v>1</v>
      </c>
      <c r="AP60" s="188">
        <f t="shared" si="42"/>
        <v>1</v>
      </c>
      <c r="AQ60" s="188">
        <f t="shared" si="42"/>
        <v>1</v>
      </c>
      <c r="AR60" s="188">
        <f t="shared" si="42"/>
        <v>1</v>
      </c>
      <c r="AS60" s="188">
        <f t="shared" si="42"/>
        <v>1</v>
      </c>
      <c r="AT60" s="188">
        <f t="shared" ref="AT60" si="43">IF($Q48="GATES",1,((AT59+0.2)/0.2)^$E60)</f>
        <v>1</v>
      </c>
    </row>
    <row r="61" spans="1:46">
      <c r="C61" s="1" t="s">
        <v>321</v>
      </c>
      <c r="F61" s="188">
        <f>IF($Q48="PASS",EXP(-0.616*($AA48-1)),1)</f>
        <v>1</v>
      </c>
      <c r="G61" s="188">
        <f t="shared" ref="G61:AS61" si="44">IF($Q48="PASS",EXP(-0.616*($AA48-1)),1)</f>
        <v>1</v>
      </c>
      <c r="H61" s="188">
        <f t="shared" si="44"/>
        <v>1</v>
      </c>
      <c r="I61" s="188">
        <f t="shared" si="44"/>
        <v>1</v>
      </c>
      <c r="J61" s="188">
        <f t="shared" si="44"/>
        <v>1</v>
      </c>
      <c r="K61" s="188">
        <f t="shared" si="44"/>
        <v>1</v>
      </c>
      <c r="L61" s="188">
        <f t="shared" si="44"/>
        <v>1</v>
      </c>
      <c r="M61" s="188">
        <f t="shared" si="44"/>
        <v>1</v>
      </c>
      <c r="N61" s="188">
        <f t="shared" si="44"/>
        <v>1</v>
      </c>
      <c r="O61" s="188">
        <f t="shared" si="44"/>
        <v>1</v>
      </c>
      <c r="P61" s="188">
        <f t="shared" si="44"/>
        <v>1</v>
      </c>
      <c r="Q61" s="188">
        <f t="shared" si="44"/>
        <v>1</v>
      </c>
      <c r="R61" s="188">
        <f t="shared" si="44"/>
        <v>1</v>
      </c>
      <c r="S61" s="188">
        <f t="shared" si="44"/>
        <v>1</v>
      </c>
      <c r="T61" s="188">
        <f t="shared" si="44"/>
        <v>1</v>
      </c>
      <c r="U61" s="188">
        <f t="shared" si="44"/>
        <v>1</v>
      </c>
      <c r="V61" s="188">
        <f t="shared" si="44"/>
        <v>1</v>
      </c>
      <c r="W61" s="188">
        <f t="shared" si="44"/>
        <v>1</v>
      </c>
      <c r="X61" s="188">
        <f t="shared" si="44"/>
        <v>1</v>
      </c>
      <c r="Y61" s="188">
        <f t="shared" si="44"/>
        <v>1</v>
      </c>
      <c r="Z61" s="188">
        <f t="shared" si="44"/>
        <v>1</v>
      </c>
      <c r="AA61" s="188">
        <f t="shared" si="44"/>
        <v>1</v>
      </c>
      <c r="AB61" s="188">
        <f t="shared" si="44"/>
        <v>1</v>
      </c>
      <c r="AC61" s="188">
        <f t="shared" si="44"/>
        <v>1</v>
      </c>
      <c r="AD61" s="188">
        <f t="shared" si="44"/>
        <v>1</v>
      </c>
      <c r="AE61" s="188">
        <f t="shared" si="44"/>
        <v>1</v>
      </c>
      <c r="AF61" s="188">
        <f t="shared" si="44"/>
        <v>1</v>
      </c>
      <c r="AG61" s="188">
        <f t="shared" si="44"/>
        <v>1</v>
      </c>
      <c r="AH61" s="188">
        <f t="shared" si="44"/>
        <v>1</v>
      </c>
      <c r="AI61" s="188">
        <f t="shared" si="44"/>
        <v>1</v>
      </c>
      <c r="AJ61" s="188">
        <f t="shared" si="44"/>
        <v>1</v>
      </c>
      <c r="AK61" s="188">
        <f t="shared" si="44"/>
        <v>1</v>
      </c>
      <c r="AL61" s="188">
        <f t="shared" si="44"/>
        <v>1</v>
      </c>
      <c r="AM61" s="188">
        <f t="shared" si="44"/>
        <v>1</v>
      </c>
      <c r="AN61" s="188">
        <f t="shared" si="44"/>
        <v>1</v>
      </c>
      <c r="AO61" s="188">
        <f t="shared" si="44"/>
        <v>1</v>
      </c>
      <c r="AP61" s="188">
        <f t="shared" si="44"/>
        <v>1</v>
      </c>
      <c r="AQ61" s="188">
        <f t="shared" si="44"/>
        <v>1</v>
      </c>
      <c r="AR61" s="188">
        <f t="shared" si="44"/>
        <v>1</v>
      </c>
      <c r="AS61" s="188">
        <f t="shared" si="44"/>
        <v>1</v>
      </c>
      <c r="AT61" s="188">
        <f t="shared" ref="AT61" si="45">IF($Q48="PASS",EXP(-0.616*($AA48-1)),1)</f>
        <v>1</v>
      </c>
    </row>
    <row r="62" spans="1:46">
      <c r="C62" s="1" t="s">
        <v>322</v>
      </c>
      <c r="F62" s="188">
        <f>IF($Q48="PASS",EXP(0.0077*$T48),1)</f>
        <v>1</v>
      </c>
      <c r="G62" s="188">
        <f t="shared" ref="G62:AS62" si="46">IF($Q48="PASS",EXP(0.0077*$T48),1)</f>
        <v>1</v>
      </c>
      <c r="H62" s="188">
        <f t="shared" si="46"/>
        <v>1</v>
      </c>
      <c r="I62" s="188">
        <f t="shared" si="46"/>
        <v>1</v>
      </c>
      <c r="J62" s="188">
        <f t="shared" si="46"/>
        <v>1</v>
      </c>
      <c r="K62" s="188">
        <f t="shared" si="46"/>
        <v>1</v>
      </c>
      <c r="L62" s="188">
        <f t="shared" si="46"/>
        <v>1</v>
      </c>
      <c r="M62" s="188">
        <f t="shared" si="46"/>
        <v>1</v>
      </c>
      <c r="N62" s="188">
        <f t="shared" si="46"/>
        <v>1</v>
      </c>
      <c r="O62" s="188">
        <f t="shared" si="46"/>
        <v>1</v>
      </c>
      <c r="P62" s="188">
        <f t="shared" si="46"/>
        <v>1</v>
      </c>
      <c r="Q62" s="188">
        <f t="shared" si="46"/>
        <v>1</v>
      </c>
      <c r="R62" s="188">
        <f t="shared" si="46"/>
        <v>1</v>
      </c>
      <c r="S62" s="188">
        <f t="shared" si="46"/>
        <v>1</v>
      </c>
      <c r="T62" s="188">
        <f t="shared" si="46"/>
        <v>1</v>
      </c>
      <c r="U62" s="188">
        <f t="shared" si="46"/>
        <v>1</v>
      </c>
      <c r="V62" s="188">
        <f t="shared" si="46"/>
        <v>1</v>
      </c>
      <c r="W62" s="188">
        <f t="shared" si="46"/>
        <v>1</v>
      </c>
      <c r="X62" s="188">
        <f t="shared" si="46"/>
        <v>1</v>
      </c>
      <c r="Y62" s="188">
        <f t="shared" si="46"/>
        <v>1</v>
      </c>
      <c r="Z62" s="188">
        <f t="shared" si="46"/>
        <v>1</v>
      </c>
      <c r="AA62" s="188">
        <f t="shared" si="46"/>
        <v>1</v>
      </c>
      <c r="AB62" s="188">
        <f t="shared" si="46"/>
        <v>1</v>
      </c>
      <c r="AC62" s="188">
        <f t="shared" si="46"/>
        <v>1</v>
      </c>
      <c r="AD62" s="188">
        <f t="shared" si="46"/>
        <v>1</v>
      </c>
      <c r="AE62" s="188">
        <f t="shared" si="46"/>
        <v>1</v>
      </c>
      <c r="AF62" s="188">
        <f t="shared" si="46"/>
        <v>1</v>
      </c>
      <c r="AG62" s="188">
        <f t="shared" si="46"/>
        <v>1</v>
      </c>
      <c r="AH62" s="188">
        <f t="shared" si="46"/>
        <v>1</v>
      </c>
      <c r="AI62" s="188">
        <f t="shared" si="46"/>
        <v>1</v>
      </c>
      <c r="AJ62" s="188">
        <f t="shared" si="46"/>
        <v>1</v>
      </c>
      <c r="AK62" s="188">
        <f t="shared" si="46"/>
        <v>1</v>
      </c>
      <c r="AL62" s="188">
        <f t="shared" si="46"/>
        <v>1</v>
      </c>
      <c r="AM62" s="188">
        <f t="shared" si="46"/>
        <v>1</v>
      </c>
      <c r="AN62" s="188">
        <f t="shared" si="46"/>
        <v>1</v>
      </c>
      <c r="AO62" s="188">
        <f t="shared" si="46"/>
        <v>1</v>
      </c>
      <c r="AP62" s="188">
        <f t="shared" si="46"/>
        <v>1</v>
      </c>
      <c r="AQ62" s="188">
        <f t="shared" si="46"/>
        <v>1</v>
      </c>
      <c r="AR62" s="188">
        <f t="shared" si="46"/>
        <v>1</v>
      </c>
      <c r="AS62" s="188">
        <f t="shared" si="46"/>
        <v>1</v>
      </c>
      <c r="AT62" s="188">
        <f t="shared" ref="AT62" si="47">IF($Q48="PASS",EXP(0.0077*$T48),1)</f>
        <v>1</v>
      </c>
    </row>
    <row r="63" spans="1:46">
      <c r="C63" s="1" t="s">
        <v>323</v>
      </c>
      <c r="F63" s="188">
        <f>IF($Q48="PASS",EXP(-0.1*($Y48-1)),1)</f>
        <v>1</v>
      </c>
      <c r="G63" s="188">
        <f t="shared" ref="G63:AS63" si="48">IF($Q48="PASS",EXP(-0.1*($Y48-1)),1)</f>
        <v>1</v>
      </c>
      <c r="H63" s="188">
        <f t="shared" si="48"/>
        <v>1</v>
      </c>
      <c r="I63" s="188">
        <f t="shared" si="48"/>
        <v>1</v>
      </c>
      <c r="J63" s="188">
        <f t="shared" si="48"/>
        <v>1</v>
      </c>
      <c r="K63" s="188">
        <f t="shared" si="48"/>
        <v>1</v>
      </c>
      <c r="L63" s="188">
        <f t="shared" si="48"/>
        <v>1</v>
      </c>
      <c r="M63" s="188">
        <f t="shared" si="48"/>
        <v>1</v>
      </c>
      <c r="N63" s="188">
        <f t="shared" si="48"/>
        <v>1</v>
      </c>
      <c r="O63" s="188">
        <f t="shared" si="48"/>
        <v>1</v>
      </c>
      <c r="P63" s="188">
        <f t="shared" si="48"/>
        <v>1</v>
      </c>
      <c r="Q63" s="188">
        <f t="shared" si="48"/>
        <v>1</v>
      </c>
      <c r="R63" s="188">
        <f t="shared" si="48"/>
        <v>1</v>
      </c>
      <c r="S63" s="188">
        <f t="shared" si="48"/>
        <v>1</v>
      </c>
      <c r="T63" s="188">
        <f t="shared" si="48"/>
        <v>1</v>
      </c>
      <c r="U63" s="188">
        <f t="shared" si="48"/>
        <v>1</v>
      </c>
      <c r="V63" s="188">
        <f t="shared" si="48"/>
        <v>1</v>
      </c>
      <c r="W63" s="188">
        <f t="shared" si="48"/>
        <v>1</v>
      </c>
      <c r="X63" s="188">
        <f t="shared" si="48"/>
        <v>1</v>
      </c>
      <c r="Y63" s="188">
        <f t="shared" si="48"/>
        <v>1</v>
      </c>
      <c r="Z63" s="188">
        <f t="shared" si="48"/>
        <v>1</v>
      </c>
      <c r="AA63" s="188">
        <f t="shared" si="48"/>
        <v>1</v>
      </c>
      <c r="AB63" s="188">
        <f t="shared" si="48"/>
        <v>1</v>
      </c>
      <c r="AC63" s="188">
        <f t="shared" si="48"/>
        <v>1</v>
      </c>
      <c r="AD63" s="188">
        <f t="shared" si="48"/>
        <v>1</v>
      </c>
      <c r="AE63" s="188">
        <f t="shared" si="48"/>
        <v>1</v>
      </c>
      <c r="AF63" s="188">
        <f t="shared" si="48"/>
        <v>1</v>
      </c>
      <c r="AG63" s="188">
        <f t="shared" si="48"/>
        <v>1</v>
      </c>
      <c r="AH63" s="188">
        <f t="shared" si="48"/>
        <v>1</v>
      </c>
      <c r="AI63" s="188">
        <f t="shared" si="48"/>
        <v>1</v>
      </c>
      <c r="AJ63" s="188">
        <f t="shared" si="48"/>
        <v>1</v>
      </c>
      <c r="AK63" s="188">
        <f t="shared" si="48"/>
        <v>1</v>
      </c>
      <c r="AL63" s="188">
        <f t="shared" si="48"/>
        <v>1</v>
      </c>
      <c r="AM63" s="188">
        <f t="shared" si="48"/>
        <v>1</v>
      </c>
      <c r="AN63" s="188">
        <f t="shared" si="48"/>
        <v>1</v>
      </c>
      <c r="AO63" s="188">
        <f t="shared" si="48"/>
        <v>1</v>
      </c>
      <c r="AP63" s="188">
        <f t="shared" si="48"/>
        <v>1</v>
      </c>
      <c r="AQ63" s="188">
        <f t="shared" si="48"/>
        <v>1</v>
      </c>
      <c r="AR63" s="188">
        <f t="shared" si="48"/>
        <v>1</v>
      </c>
      <c r="AS63" s="188">
        <f t="shared" si="48"/>
        <v>1</v>
      </c>
      <c r="AT63" s="188">
        <f t="shared" ref="AT63" si="49">IF($Q48="PASS",EXP(-0.1*($Y48-1)),1)</f>
        <v>1</v>
      </c>
    </row>
    <row r="64" spans="1:46">
      <c r="C64" s="1" t="s">
        <v>324</v>
      </c>
      <c r="E64" s="1">
        <f>IF($Q48="GATES",0.1036,IF($Q48="PASS","",IF($Q48="LIGHTS",0.138)))</f>
        <v>0.1036</v>
      </c>
      <c r="F64" s="188">
        <f>IF($Q48="PASS",1,EXP($E64*($U48-1)))</f>
        <v>1.1091567034898182</v>
      </c>
      <c r="G64" s="188">
        <f t="shared" ref="G64:AS64" si="50">IF($Q48="PASS",1,EXP($E64*($U48-1)))</f>
        <v>1.1091567034898182</v>
      </c>
      <c r="H64" s="188">
        <f t="shared" si="50"/>
        <v>1.1091567034898182</v>
      </c>
      <c r="I64" s="188">
        <f t="shared" si="50"/>
        <v>1.1091567034898182</v>
      </c>
      <c r="J64" s="188">
        <f t="shared" si="50"/>
        <v>1.1091567034898182</v>
      </c>
      <c r="K64" s="188">
        <f t="shared" si="50"/>
        <v>1.1091567034898182</v>
      </c>
      <c r="L64" s="188">
        <f t="shared" si="50"/>
        <v>1.1091567034898182</v>
      </c>
      <c r="M64" s="188">
        <f t="shared" si="50"/>
        <v>1.1091567034898182</v>
      </c>
      <c r="N64" s="188">
        <f t="shared" si="50"/>
        <v>1.1091567034898182</v>
      </c>
      <c r="O64" s="188">
        <f t="shared" si="50"/>
        <v>1.1091567034898182</v>
      </c>
      <c r="P64" s="188">
        <f t="shared" si="50"/>
        <v>1.1091567034898182</v>
      </c>
      <c r="Q64" s="188">
        <f t="shared" si="50"/>
        <v>1.1091567034898182</v>
      </c>
      <c r="R64" s="188">
        <f t="shared" si="50"/>
        <v>1.1091567034898182</v>
      </c>
      <c r="S64" s="188">
        <f t="shared" si="50"/>
        <v>1.1091567034898182</v>
      </c>
      <c r="T64" s="188">
        <f t="shared" si="50"/>
        <v>1.1091567034898182</v>
      </c>
      <c r="U64" s="188">
        <f t="shared" si="50"/>
        <v>1.1091567034898182</v>
      </c>
      <c r="V64" s="188">
        <f t="shared" si="50"/>
        <v>1.1091567034898182</v>
      </c>
      <c r="W64" s="188">
        <f t="shared" si="50"/>
        <v>1.1091567034898182</v>
      </c>
      <c r="X64" s="188">
        <f t="shared" si="50"/>
        <v>1.1091567034898182</v>
      </c>
      <c r="Y64" s="188">
        <f t="shared" si="50"/>
        <v>1.1091567034898182</v>
      </c>
      <c r="Z64" s="188">
        <f t="shared" si="50"/>
        <v>1.1091567034898182</v>
      </c>
      <c r="AA64" s="188">
        <f t="shared" si="50"/>
        <v>1.1091567034898182</v>
      </c>
      <c r="AB64" s="188">
        <f t="shared" si="50"/>
        <v>1.1091567034898182</v>
      </c>
      <c r="AC64" s="188">
        <f t="shared" si="50"/>
        <v>1.1091567034898182</v>
      </c>
      <c r="AD64" s="188">
        <f t="shared" si="50"/>
        <v>1.1091567034898182</v>
      </c>
      <c r="AE64" s="188">
        <f t="shared" si="50"/>
        <v>1.1091567034898182</v>
      </c>
      <c r="AF64" s="188">
        <f t="shared" si="50"/>
        <v>1.1091567034898182</v>
      </c>
      <c r="AG64" s="188">
        <f t="shared" si="50"/>
        <v>1.1091567034898182</v>
      </c>
      <c r="AH64" s="188">
        <f t="shared" si="50"/>
        <v>1.1091567034898182</v>
      </c>
      <c r="AI64" s="188">
        <f t="shared" si="50"/>
        <v>1.1091567034898182</v>
      </c>
      <c r="AJ64" s="188">
        <f t="shared" si="50"/>
        <v>1.1091567034898182</v>
      </c>
      <c r="AK64" s="188">
        <f t="shared" si="50"/>
        <v>1.1091567034898182</v>
      </c>
      <c r="AL64" s="188">
        <f t="shared" si="50"/>
        <v>1.1091567034898182</v>
      </c>
      <c r="AM64" s="188">
        <f t="shared" si="50"/>
        <v>1.1091567034898182</v>
      </c>
      <c r="AN64" s="188">
        <f t="shared" si="50"/>
        <v>1.1091567034898182</v>
      </c>
      <c r="AO64" s="188">
        <f t="shared" si="50"/>
        <v>1.1091567034898182</v>
      </c>
      <c r="AP64" s="188">
        <f t="shared" si="50"/>
        <v>1.1091567034898182</v>
      </c>
      <c r="AQ64" s="188">
        <f t="shared" si="50"/>
        <v>1.1091567034898182</v>
      </c>
      <c r="AR64" s="188">
        <f t="shared" si="50"/>
        <v>1.1091567034898182</v>
      </c>
      <c r="AS64" s="188">
        <f t="shared" si="50"/>
        <v>1.1091567034898182</v>
      </c>
      <c r="AT64" s="188">
        <f t="shared" ref="AT64" si="51">IF($Q48="PASS",1,EXP($E64*($U48-1)))</f>
        <v>1.1091567034898182</v>
      </c>
    </row>
    <row r="65" spans="2:46">
      <c r="C65" s="1" t="s">
        <v>325</v>
      </c>
      <c r="F65" s="221">
        <f>ROUND(F54*F57*F58*F60*F61*F62*F63*F64,3)</f>
        <v>6.7000000000000004E-2</v>
      </c>
      <c r="G65" s="215">
        <f t="shared" ref="G65:AS65" si="52">ROUND(G54*G57*G58*G60*G61*G62*G63*G64,3)</f>
        <v>6.7000000000000004E-2</v>
      </c>
      <c r="H65" s="215">
        <f t="shared" si="52"/>
        <v>6.8000000000000005E-2</v>
      </c>
      <c r="I65" s="215">
        <f t="shared" si="52"/>
        <v>6.9000000000000006E-2</v>
      </c>
      <c r="J65" s="215">
        <f t="shared" si="52"/>
        <v>6.9000000000000006E-2</v>
      </c>
      <c r="K65" s="215">
        <f t="shared" si="52"/>
        <v>7.0000000000000007E-2</v>
      </c>
      <c r="L65" s="215">
        <f t="shared" si="52"/>
        <v>7.0000000000000007E-2</v>
      </c>
      <c r="M65" s="215">
        <f t="shared" si="52"/>
        <v>7.0999999999999994E-2</v>
      </c>
      <c r="N65" s="215">
        <f t="shared" si="52"/>
        <v>7.0999999999999994E-2</v>
      </c>
      <c r="O65" s="215">
        <f t="shared" si="52"/>
        <v>7.1999999999999995E-2</v>
      </c>
      <c r="P65" s="215">
        <f t="shared" si="52"/>
        <v>7.1999999999999995E-2</v>
      </c>
      <c r="Q65" s="215">
        <f t="shared" si="52"/>
        <v>7.2999999999999995E-2</v>
      </c>
      <c r="R65" s="215">
        <f t="shared" si="52"/>
        <v>7.2999999999999995E-2</v>
      </c>
      <c r="S65" s="215">
        <f t="shared" si="52"/>
        <v>7.3999999999999996E-2</v>
      </c>
      <c r="T65" s="215">
        <f t="shared" si="52"/>
        <v>7.3999999999999996E-2</v>
      </c>
      <c r="U65" s="215">
        <f t="shared" si="52"/>
        <v>7.3999999999999996E-2</v>
      </c>
      <c r="V65" s="215">
        <f t="shared" si="52"/>
        <v>7.4999999999999997E-2</v>
      </c>
      <c r="W65" s="215">
        <f t="shared" si="52"/>
        <v>7.4999999999999997E-2</v>
      </c>
      <c r="X65" s="215">
        <f t="shared" si="52"/>
        <v>7.5999999999999998E-2</v>
      </c>
      <c r="Y65" s="215">
        <f t="shared" si="52"/>
        <v>7.5999999999999998E-2</v>
      </c>
      <c r="Z65" s="215">
        <f t="shared" si="52"/>
        <v>7.6999999999999999E-2</v>
      </c>
      <c r="AA65" s="215">
        <f t="shared" si="52"/>
        <v>7.6999999999999999E-2</v>
      </c>
      <c r="AB65" s="215">
        <f t="shared" si="52"/>
        <v>7.6999999999999999E-2</v>
      </c>
      <c r="AC65" s="215">
        <f t="shared" si="52"/>
        <v>7.8E-2</v>
      </c>
      <c r="AD65" s="215">
        <f t="shared" si="52"/>
        <v>7.8E-2</v>
      </c>
      <c r="AE65" s="215">
        <f t="shared" si="52"/>
        <v>7.9000000000000001E-2</v>
      </c>
      <c r="AF65" s="215">
        <f t="shared" si="52"/>
        <v>7.9000000000000001E-2</v>
      </c>
      <c r="AG65" s="215">
        <f t="shared" si="52"/>
        <v>7.9000000000000001E-2</v>
      </c>
      <c r="AH65" s="215">
        <f t="shared" si="52"/>
        <v>0.08</v>
      </c>
      <c r="AI65" s="215">
        <f t="shared" si="52"/>
        <v>0.08</v>
      </c>
      <c r="AJ65" s="215">
        <f t="shared" si="52"/>
        <v>8.1000000000000003E-2</v>
      </c>
      <c r="AK65" s="215">
        <f t="shared" si="52"/>
        <v>8.1000000000000003E-2</v>
      </c>
      <c r="AL65" s="215">
        <f t="shared" si="52"/>
        <v>8.1000000000000003E-2</v>
      </c>
      <c r="AM65" s="215">
        <f t="shared" si="52"/>
        <v>8.2000000000000003E-2</v>
      </c>
      <c r="AN65" s="215">
        <f t="shared" si="52"/>
        <v>8.2000000000000003E-2</v>
      </c>
      <c r="AO65" s="215">
        <f t="shared" si="52"/>
        <v>8.2000000000000003E-2</v>
      </c>
      <c r="AP65" s="215">
        <f t="shared" si="52"/>
        <v>8.3000000000000004E-2</v>
      </c>
      <c r="AQ65" s="215">
        <f t="shared" si="52"/>
        <v>8.3000000000000004E-2</v>
      </c>
      <c r="AR65" s="215">
        <f t="shared" si="52"/>
        <v>8.4000000000000005E-2</v>
      </c>
      <c r="AS65" s="215">
        <f t="shared" si="52"/>
        <v>8.4000000000000005E-2</v>
      </c>
      <c r="AT65" s="215">
        <f t="shared" ref="AT65" si="53">ROUND(AT54*AT57*AT58*AT60*AT61*AT62*AT63*AT64,3)</f>
        <v>8.4000000000000005E-2</v>
      </c>
    </row>
    <row r="66" spans="2:46">
      <c r="C66" s="1" t="s">
        <v>326</v>
      </c>
      <c r="F66" s="198">
        <f>_xlfn.XLOOKUP(F65,$C$107:$MA$107,$C$108:$MA$108)</f>
        <v>4.2499999999999996E-2</v>
      </c>
      <c r="G66" s="198">
        <f t="shared" ref="G66:AS66" si="54">_xlfn.XLOOKUP(G65,$C$107:$MA$107,$C$108:$MA$108)</f>
        <v>4.2499999999999996E-2</v>
      </c>
      <c r="H66" s="198">
        <f t="shared" si="54"/>
        <v>4.2999999999999997E-2</v>
      </c>
      <c r="I66" s="198">
        <f t="shared" si="54"/>
        <v>4.3499999999999997E-2</v>
      </c>
      <c r="J66" s="198">
        <f t="shared" si="54"/>
        <v>4.3499999999999997E-2</v>
      </c>
      <c r="K66" s="198">
        <f t="shared" si="54"/>
        <v>4.3999999999999997E-2</v>
      </c>
      <c r="L66" s="198">
        <f t="shared" si="54"/>
        <v>4.3999999999999997E-2</v>
      </c>
      <c r="M66" s="198">
        <f t="shared" si="54"/>
        <v>4.4399999999999995E-2</v>
      </c>
      <c r="N66" s="198">
        <f t="shared" si="54"/>
        <v>4.4399999999999995E-2</v>
      </c>
      <c r="O66" s="198">
        <f t="shared" si="54"/>
        <v>4.4799999999999993E-2</v>
      </c>
      <c r="P66" s="198">
        <f t="shared" si="54"/>
        <v>4.4799999999999993E-2</v>
      </c>
      <c r="Q66" s="198">
        <f t="shared" si="54"/>
        <v>4.5199999999999997E-2</v>
      </c>
      <c r="R66" s="198">
        <f t="shared" si="54"/>
        <v>4.5199999999999997E-2</v>
      </c>
      <c r="S66" s="198">
        <f t="shared" si="54"/>
        <v>4.5599999999999995E-2</v>
      </c>
      <c r="T66" s="198">
        <f t="shared" si="54"/>
        <v>4.5599999999999995E-2</v>
      </c>
      <c r="U66" s="198">
        <f t="shared" si="54"/>
        <v>4.5599999999999995E-2</v>
      </c>
      <c r="V66" s="198">
        <f t="shared" si="54"/>
        <v>4.5999999999999999E-2</v>
      </c>
      <c r="W66" s="198">
        <f t="shared" si="54"/>
        <v>4.5999999999999999E-2</v>
      </c>
      <c r="X66" s="198">
        <f t="shared" si="54"/>
        <v>4.6399999999999997E-2</v>
      </c>
      <c r="Y66" s="198">
        <f t="shared" si="54"/>
        <v>4.6399999999999997E-2</v>
      </c>
      <c r="Z66" s="198">
        <f t="shared" si="54"/>
        <v>4.6800000000000001E-2</v>
      </c>
      <c r="AA66" s="198">
        <f t="shared" si="54"/>
        <v>4.6800000000000001E-2</v>
      </c>
      <c r="AB66" s="198">
        <f t="shared" si="54"/>
        <v>4.6800000000000001E-2</v>
      </c>
      <c r="AC66" s="198">
        <f t="shared" si="54"/>
        <v>4.7199999999999999E-2</v>
      </c>
      <c r="AD66" s="198">
        <f t="shared" si="54"/>
        <v>4.7199999999999999E-2</v>
      </c>
      <c r="AE66" s="198">
        <f t="shared" si="54"/>
        <v>4.7600000000000003E-2</v>
      </c>
      <c r="AF66" s="198">
        <f t="shared" si="54"/>
        <v>4.7600000000000003E-2</v>
      </c>
      <c r="AG66" s="198">
        <f t="shared" si="54"/>
        <v>4.7600000000000003E-2</v>
      </c>
      <c r="AH66" s="198">
        <f t="shared" si="54"/>
        <v>4.8000000000000001E-2</v>
      </c>
      <c r="AI66" s="198">
        <f t="shared" si="54"/>
        <v>4.8000000000000001E-2</v>
      </c>
      <c r="AJ66" s="198">
        <f t="shared" si="54"/>
        <v>4.8500000000000001E-2</v>
      </c>
      <c r="AK66" s="198">
        <f t="shared" si="54"/>
        <v>4.8500000000000001E-2</v>
      </c>
      <c r="AL66" s="198">
        <f t="shared" si="54"/>
        <v>4.8500000000000001E-2</v>
      </c>
      <c r="AM66" s="198">
        <f t="shared" si="54"/>
        <v>4.9000000000000002E-2</v>
      </c>
      <c r="AN66" s="198">
        <f t="shared" si="54"/>
        <v>4.9000000000000002E-2</v>
      </c>
      <c r="AO66" s="198">
        <f t="shared" si="54"/>
        <v>4.9000000000000002E-2</v>
      </c>
      <c r="AP66" s="198">
        <f t="shared" si="54"/>
        <v>4.9500000000000002E-2</v>
      </c>
      <c r="AQ66" s="198">
        <f t="shared" si="54"/>
        <v>4.9500000000000002E-2</v>
      </c>
      <c r="AR66" s="198">
        <f t="shared" si="54"/>
        <v>0.05</v>
      </c>
      <c r="AS66" s="198">
        <f t="shared" si="54"/>
        <v>0.05</v>
      </c>
      <c r="AT66" s="198">
        <f t="shared" ref="AT66" si="55">_xlfn.XLOOKUP(AT65,$C$107:$MA$107,$C$108:$MA$108)</f>
        <v>0.05</v>
      </c>
    </row>
    <row r="67" spans="2:46">
      <c r="C67" s="1" t="s">
        <v>327</v>
      </c>
      <c r="F67" s="207">
        <f>$T48^(-1.074)</f>
        <v>1.231021270582589E-2</v>
      </c>
      <c r="G67" s="207">
        <f t="shared" ref="G67:AS67" si="56">$T48^(-1.074)</f>
        <v>1.231021270582589E-2</v>
      </c>
      <c r="H67" s="207">
        <f t="shared" si="56"/>
        <v>1.231021270582589E-2</v>
      </c>
      <c r="I67" s="207">
        <f t="shared" si="56"/>
        <v>1.231021270582589E-2</v>
      </c>
      <c r="J67" s="207">
        <f t="shared" si="56"/>
        <v>1.231021270582589E-2</v>
      </c>
      <c r="K67" s="207">
        <f t="shared" si="56"/>
        <v>1.231021270582589E-2</v>
      </c>
      <c r="L67" s="207">
        <f t="shared" si="56"/>
        <v>1.231021270582589E-2</v>
      </c>
      <c r="M67" s="207">
        <f t="shared" si="56"/>
        <v>1.231021270582589E-2</v>
      </c>
      <c r="N67" s="207">
        <f t="shared" si="56"/>
        <v>1.231021270582589E-2</v>
      </c>
      <c r="O67" s="207">
        <f t="shared" si="56"/>
        <v>1.231021270582589E-2</v>
      </c>
      <c r="P67" s="207">
        <f t="shared" si="56"/>
        <v>1.231021270582589E-2</v>
      </c>
      <c r="Q67" s="207">
        <f t="shared" si="56"/>
        <v>1.231021270582589E-2</v>
      </c>
      <c r="R67" s="207">
        <f t="shared" si="56"/>
        <v>1.231021270582589E-2</v>
      </c>
      <c r="S67" s="207">
        <f t="shared" si="56"/>
        <v>1.231021270582589E-2</v>
      </c>
      <c r="T67" s="207">
        <f t="shared" si="56"/>
        <v>1.231021270582589E-2</v>
      </c>
      <c r="U67" s="207">
        <f t="shared" si="56"/>
        <v>1.231021270582589E-2</v>
      </c>
      <c r="V67" s="207">
        <f t="shared" si="56"/>
        <v>1.231021270582589E-2</v>
      </c>
      <c r="W67" s="207">
        <f t="shared" si="56"/>
        <v>1.231021270582589E-2</v>
      </c>
      <c r="X67" s="207">
        <f t="shared" si="56"/>
        <v>1.231021270582589E-2</v>
      </c>
      <c r="Y67" s="207">
        <f t="shared" si="56"/>
        <v>1.231021270582589E-2</v>
      </c>
      <c r="Z67" s="207">
        <f t="shared" si="56"/>
        <v>1.231021270582589E-2</v>
      </c>
      <c r="AA67" s="207">
        <f t="shared" si="56"/>
        <v>1.231021270582589E-2</v>
      </c>
      <c r="AB67" s="207">
        <f t="shared" si="56"/>
        <v>1.231021270582589E-2</v>
      </c>
      <c r="AC67" s="207">
        <f t="shared" si="56"/>
        <v>1.231021270582589E-2</v>
      </c>
      <c r="AD67" s="207">
        <f t="shared" si="56"/>
        <v>1.231021270582589E-2</v>
      </c>
      <c r="AE67" s="207">
        <f t="shared" si="56"/>
        <v>1.231021270582589E-2</v>
      </c>
      <c r="AF67" s="207">
        <f t="shared" si="56"/>
        <v>1.231021270582589E-2</v>
      </c>
      <c r="AG67" s="207">
        <f t="shared" si="56"/>
        <v>1.231021270582589E-2</v>
      </c>
      <c r="AH67" s="207">
        <f t="shared" si="56"/>
        <v>1.231021270582589E-2</v>
      </c>
      <c r="AI67" s="207">
        <f t="shared" si="56"/>
        <v>1.231021270582589E-2</v>
      </c>
      <c r="AJ67" s="207">
        <f t="shared" si="56"/>
        <v>1.231021270582589E-2</v>
      </c>
      <c r="AK67" s="207">
        <f t="shared" si="56"/>
        <v>1.231021270582589E-2</v>
      </c>
      <c r="AL67" s="207">
        <f t="shared" si="56"/>
        <v>1.231021270582589E-2</v>
      </c>
      <c r="AM67" s="207">
        <f t="shared" si="56"/>
        <v>1.231021270582589E-2</v>
      </c>
      <c r="AN67" s="207">
        <f t="shared" si="56"/>
        <v>1.231021270582589E-2</v>
      </c>
      <c r="AO67" s="207">
        <f t="shared" si="56"/>
        <v>1.231021270582589E-2</v>
      </c>
      <c r="AP67" s="207">
        <f t="shared" si="56"/>
        <v>1.231021270582589E-2</v>
      </c>
      <c r="AQ67" s="207">
        <f t="shared" si="56"/>
        <v>1.231021270582589E-2</v>
      </c>
      <c r="AR67" s="207">
        <f t="shared" si="56"/>
        <v>1.231021270582589E-2</v>
      </c>
      <c r="AS67" s="207">
        <f t="shared" si="56"/>
        <v>1.231021270582589E-2</v>
      </c>
      <c r="AT67" s="207">
        <f t="shared" ref="AT67" si="57">$T48^(-1.074)</f>
        <v>1.231021270582589E-2</v>
      </c>
    </row>
    <row r="68" spans="2:46">
      <c r="C68" s="1" t="s">
        <v>328</v>
      </c>
      <c r="F68" s="207">
        <f>(F56+1)^(-0.1025)</f>
        <v>0.78209093075273661</v>
      </c>
      <c r="G68" s="207">
        <f t="shared" ref="G68:AS68" si="58">(G56+1)^(-0.1025)</f>
        <v>0.78209093075273661</v>
      </c>
      <c r="H68" s="207">
        <f t="shared" si="58"/>
        <v>0.78209093075273661</v>
      </c>
      <c r="I68" s="207">
        <f t="shared" si="58"/>
        <v>0.78209093075273661</v>
      </c>
      <c r="J68" s="207">
        <f t="shared" si="58"/>
        <v>0.78209093075273661</v>
      </c>
      <c r="K68" s="207">
        <f t="shared" si="58"/>
        <v>0.78209093075273661</v>
      </c>
      <c r="L68" s="207">
        <f t="shared" si="58"/>
        <v>0.78209093075273661</v>
      </c>
      <c r="M68" s="207">
        <f t="shared" si="58"/>
        <v>0.78209093075273661</v>
      </c>
      <c r="N68" s="207">
        <f t="shared" si="58"/>
        <v>0.78209093075273661</v>
      </c>
      <c r="O68" s="207">
        <f t="shared" si="58"/>
        <v>0.78209093075273661</v>
      </c>
      <c r="P68" s="207">
        <f t="shared" si="58"/>
        <v>0.78209093075273661</v>
      </c>
      <c r="Q68" s="207">
        <f t="shared" si="58"/>
        <v>0.78209093075273661</v>
      </c>
      <c r="R68" s="207">
        <f t="shared" si="58"/>
        <v>0.78209093075273661</v>
      </c>
      <c r="S68" s="207">
        <f t="shared" si="58"/>
        <v>0.78209093075273661</v>
      </c>
      <c r="T68" s="207">
        <f t="shared" si="58"/>
        <v>0.78209093075273661</v>
      </c>
      <c r="U68" s="207">
        <f t="shared" si="58"/>
        <v>0.78209093075273661</v>
      </c>
      <c r="V68" s="207">
        <f t="shared" si="58"/>
        <v>0.78209093075273661</v>
      </c>
      <c r="W68" s="207">
        <f t="shared" si="58"/>
        <v>0.78209093075273661</v>
      </c>
      <c r="X68" s="207">
        <f t="shared" si="58"/>
        <v>0.78209093075273661</v>
      </c>
      <c r="Y68" s="207">
        <f t="shared" si="58"/>
        <v>0.78209093075273661</v>
      </c>
      <c r="Z68" s="207">
        <f t="shared" si="58"/>
        <v>0.78209093075273661</v>
      </c>
      <c r="AA68" s="207">
        <f t="shared" si="58"/>
        <v>0.78209093075273661</v>
      </c>
      <c r="AB68" s="207">
        <f t="shared" si="58"/>
        <v>0.78209093075273661</v>
      </c>
      <c r="AC68" s="207">
        <f t="shared" si="58"/>
        <v>0.78209093075273661</v>
      </c>
      <c r="AD68" s="207">
        <f t="shared" si="58"/>
        <v>0.78209093075273661</v>
      </c>
      <c r="AE68" s="207">
        <f t="shared" si="58"/>
        <v>0.78209093075273661</v>
      </c>
      <c r="AF68" s="207">
        <f t="shared" si="58"/>
        <v>0.78209093075273661</v>
      </c>
      <c r="AG68" s="207">
        <f t="shared" si="58"/>
        <v>0.78209093075273661</v>
      </c>
      <c r="AH68" s="207">
        <f t="shared" si="58"/>
        <v>0.78209093075273661</v>
      </c>
      <c r="AI68" s="207">
        <f t="shared" si="58"/>
        <v>0.78209093075273661</v>
      </c>
      <c r="AJ68" s="207">
        <f t="shared" si="58"/>
        <v>0.78209093075273661</v>
      </c>
      <c r="AK68" s="207">
        <f t="shared" si="58"/>
        <v>0.78209093075273661</v>
      </c>
      <c r="AL68" s="207">
        <f t="shared" si="58"/>
        <v>0.78209093075273661</v>
      </c>
      <c r="AM68" s="207">
        <f t="shared" si="58"/>
        <v>0.78209093075273661</v>
      </c>
      <c r="AN68" s="207">
        <f t="shared" si="58"/>
        <v>0.78209093075273661</v>
      </c>
      <c r="AO68" s="207">
        <f t="shared" si="58"/>
        <v>0.78209093075273661</v>
      </c>
      <c r="AP68" s="207">
        <f t="shared" si="58"/>
        <v>0.78209093075273661</v>
      </c>
      <c r="AQ68" s="207">
        <f t="shared" si="58"/>
        <v>0.78209093075273661</v>
      </c>
      <c r="AR68" s="207">
        <f t="shared" si="58"/>
        <v>0.78209093075273661</v>
      </c>
      <c r="AS68" s="207">
        <f t="shared" si="58"/>
        <v>0.78209093075273661</v>
      </c>
      <c r="AT68" s="207">
        <f t="shared" ref="AT68" si="59">(AT56+1)^(-0.1025)</f>
        <v>0.78209093075273661</v>
      </c>
    </row>
    <row r="69" spans="2:46">
      <c r="C69" s="1" t="s">
        <v>329</v>
      </c>
      <c r="F69" s="207">
        <f>($AC48+1)^(0.1025)</f>
        <v>1</v>
      </c>
      <c r="G69" s="207">
        <f t="shared" ref="G69:AS69" si="60">($AC48+1)^(0.1025)</f>
        <v>1</v>
      </c>
      <c r="H69" s="207">
        <f t="shared" si="60"/>
        <v>1</v>
      </c>
      <c r="I69" s="207">
        <f t="shared" si="60"/>
        <v>1</v>
      </c>
      <c r="J69" s="207">
        <f t="shared" si="60"/>
        <v>1</v>
      </c>
      <c r="K69" s="207">
        <f t="shared" si="60"/>
        <v>1</v>
      </c>
      <c r="L69" s="207">
        <f t="shared" si="60"/>
        <v>1</v>
      </c>
      <c r="M69" s="207">
        <f t="shared" si="60"/>
        <v>1</v>
      </c>
      <c r="N69" s="207">
        <f t="shared" si="60"/>
        <v>1</v>
      </c>
      <c r="O69" s="207">
        <f t="shared" si="60"/>
        <v>1</v>
      </c>
      <c r="P69" s="207">
        <f t="shared" si="60"/>
        <v>1</v>
      </c>
      <c r="Q69" s="207">
        <f t="shared" si="60"/>
        <v>1</v>
      </c>
      <c r="R69" s="207">
        <f t="shared" si="60"/>
        <v>1</v>
      </c>
      <c r="S69" s="207">
        <f t="shared" si="60"/>
        <v>1</v>
      </c>
      <c r="T69" s="207">
        <f t="shared" si="60"/>
        <v>1</v>
      </c>
      <c r="U69" s="207">
        <f t="shared" si="60"/>
        <v>1</v>
      </c>
      <c r="V69" s="207">
        <f t="shared" si="60"/>
        <v>1</v>
      </c>
      <c r="W69" s="207">
        <f t="shared" si="60"/>
        <v>1</v>
      </c>
      <c r="X69" s="207">
        <f t="shared" si="60"/>
        <v>1</v>
      </c>
      <c r="Y69" s="207">
        <f t="shared" si="60"/>
        <v>1</v>
      </c>
      <c r="Z69" s="207">
        <f t="shared" si="60"/>
        <v>1</v>
      </c>
      <c r="AA69" s="207">
        <f t="shared" si="60"/>
        <v>1</v>
      </c>
      <c r="AB69" s="207">
        <f t="shared" si="60"/>
        <v>1</v>
      </c>
      <c r="AC69" s="207">
        <f t="shared" si="60"/>
        <v>1</v>
      </c>
      <c r="AD69" s="207">
        <f t="shared" si="60"/>
        <v>1</v>
      </c>
      <c r="AE69" s="207">
        <f t="shared" si="60"/>
        <v>1</v>
      </c>
      <c r="AF69" s="207">
        <f t="shared" si="60"/>
        <v>1</v>
      </c>
      <c r="AG69" s="207">
        <f t="shared" si="60"/>
        <v>1</v>
      </c>
      <c r="AH69" s="207">
        <f t="shared" si="60"/>
        <v>1</v>
      </c>
      <c r="AI69" s="207">
        <f t="shared" si="60"/>
        <v>1</v>
      </c>
      <c r="AJ69" s="207">
        <f t="shared" si="60"/>
        <v>1</v>
      </c>
      <c r="AK69" s="207">
        <f t="shared" si="60"/>
        <v>1</v>
      </c>
      <c r="AL69" s="207">
        <f t="shared" si="60"/>
        <v>1</v>
      </c>
      <c r="AM69" s="207">
        <f t="shared" si="60"/>
        <v>1</v>
      </c>
      <c r="AN69" s="207">
        <f t="shared" si="60"/>
        <v>1</v>
      </c>
      <c r="AO69" s="207">
        <f t="shared" si="60"/>
        <v>1</v>
      </c>
      <c r="AP69" s="207">
        <f t="shared" si="60"/>
        <v>1</v>
      </c>
      <c r="AQ69" s="207">
        <f t="shared" si="60"/>
        <v>1</v>
      </c>
      <c r="AR69" s="207">
        <f t="shared" si="60"/>
        <v>1</v>
      </c>
      <c r="AS69" s="207">
        <f t="shared" si="60"/>
        <v>1</v>
      </c>
      <c r="AT69" s="207">
        <f t="shared" ref="AT69" si="61">($AC48+1)^(0.1025)</f>
        <v>1</v>
      </c>
    </row>
    <row r="70" spans="2:46">
      <c r="C70" s="1" t="s">
        <v>330</v>
      </c>
      <c r="F70" s="207">
        <f>IF($G48="Urban",EXP(0.188),IF($G48="Rural",1))</f>
        <v>1</v>
      </c>
      <c r="G70" s="207">
        <f t="shared" ref="G70:AS70" si="62">IF($G48="Urban",EXP(0.188),IF($G48="Rural",1))</f>
        <v>1</v>
      </c>
      <c r="H70" s="207">
        <f t="shared" si="62"/>
        <v>1</v>
      </c>
      <c r="I70" s="207">
        <f t="shared" si="62"/>
        <v>1</v>
      </c>
      <c r="J70" s="207">
        <f t="shared" si="62"/>
        <v>1</v>
      </c>
      <c r="K70" s="207">
        <f t="shared" si="62"/>
        <v>1</v>
      </c>
      <c r="L70" s="207">
        <f t="shared" si="62"/>
        <v>1</v>
      </c>
      <c r="M70" s="207">
        <f t="shared" si="62"/>
        <v>1</v>
      </c>
      <c r="N70" s="207">
        <f t="shared" si="62"/>
        <v>1</v>
      </c>
      <c r="O70" s="207">
        <f t="shared" si="62"/>
        <v>1</v>
      </c>
      <c r="P70" s="207">
        <f t="shared" si="62"/>
        <v>1</v>
      </c>
      <c r="Q70" s="207">
        <f t="shared" si="62"/>
        <v>1</v>
      </c>
      <c r="R70" s="207">
        <f t="shared" si="62"/>
        <v>1</v>
      </c>
      <c r="S70" s="207">
        <f t="shared" si="62"/>
        <v>1</v>
      </c>
      <c r="T70" s="207">
        <f t="shared" si="62"/>
        <v>1</v>
      </c>
      <c r="U70" s="207">
        <f t="shared" si="62"/>
        <v>1</v>
      </c>
      <c r="V70" s="207">
        <f t="shared" si="62"/>
        <v>1</v>
      </c>
      <c r="W70" s="207">
        <f t="shared" si="62"/>
        <v>1</v>
      </c>
      <c r="X70" s="207">
        <f t="shared" si="62"/>
        <v>1</v>
      </c>
      <c r="Y70" s="207">
        <f t="shared" si="62"/>
        <v>1</v>
      </c>
      <c r="Z70" s="207">
        <f t="shared" si="62"/>
        <v>1</v>
      </c>
      <c r="AA70" s="207">
        <f t="shared" si="62"/>
        <v>1</v>
      </c>
      <c r="AB70" s="207">
        <f t="shared" si="62"/>
        <v>1</v>
      </c>
      <c r="AC70" s="207">
        <f t="shared" si="62"/>
        <v>1</v>
      </c>
      <c r="AD70" s="207">
        <f t="shared" si="62"/>
        <v>1</v>
      </c>
      <c r="AE70" s="207">
        <f t="shared" si="62"/>
        <v>1</v>
      </c>
      <c r="AF70" s="207">
        <f t="shared" si="62"/>
        <v>1</v>
      </c>
      <c r="AG70" s="207">
        <f t="shared" si="62"/>
        <v>1</v>
      </c>
      <c r="AH70" s="207">
        <f t="shared" si="62"/>
        <v>1</v>
      </c>
      <c r="AI70" s="207">
        <f t="shared" si="62"/>
        <v>1</v>
      </c>
      <c r="AJ70" s="207">
        <f t="shared" si="62"/>
        <v>1</v>
      </c>
      <c r="AK70" s="207">
        <f t="shared" si="62"/>
        <v>1</v>
      </c>
      <c r="AL70" s="207">
        <f t="shared" si="62"/>
        <v>1</v>
      </c>
      <c r="AM70" s="207">
        <f t="shared" si="62"/>
        <v>1</v>
      </c>
      <c r="AN70" s="207">
        <f t="shared" si="62"/>
        <v>1</v>
      </c>
      <c r="AO70" s="207">
        <f t="shared" si="62"/>
        <v>1</v>
      </c>
      <c r="AP70" s="207">
        <f t="shared" si="62"/>
        <v>1</v>
      </c>
      <c r="AQ70" s="207">
        <f t="shared" si="62"/>
        <v>1</v>
      </c>
      <c r="AR70" s="207">
        <f t="shared" si="62"/>
        <v>1</v>
      </c>
      <c r="AS70" s="207">
        <f t="shared" si="62"/>
        <v>1</v>
      </c>
      <c r="AT70" s="207">
        <f t="shared" ref="AT70" si="63">IF($G48="Urban",EXP(0.188),IF($G48="Rural",1))</f>
        <v>1</v>
      </c>
    </row>
    <row r="71" spans="2:46">
      <c r="C71" s="1" t="s">
        <v>331</v>
      </c>
      <c r="F71" s="208">
        <f>1/(1+695*F67*F68*F69*F70)</f>
        <v>0.13001778498234851</v>
      </c>
      <c r="G71" s="208">
        <f t="shared" ref="G71:AS71" si="64">1/(1+695*G67*G68*G69*G70)</f>
        <v>0.13001778498234851</v>
      </c>
      <c r="H71" s="208">
        <f t="shared" si="64"/>
        <v>0.13001778498234851</v>
      </c>
      <c r="I71" s="208">
        <f t="shared" si="64"/>
        <v>0.13001778498234851</v>
      </c>
      <c r="J71" s="208">
        <f t="shared" si="64"/>
        <v>0.13001778498234851</v>
      </c>
      <c r="K71" s="208">
        <f t="shared" si="64"/>
        <v>0.13001778498234851</v>
      </c>
      <c r="L71" s="208">
        <f t="shared" si="64"/>
        <v>0.13001778498234851</v>
      </c>
      <c r="M71" s="208">
        <f t="shared" si="64"/>
        <v>0.13001778498234851</v>
      </c>
      <c r="N71" s="208">
        <f t="shared" si="64"/>
        <v>0.13001778498234851</v>
      </c>
      <c r="O71" s="208">
        <f t="shared" si="64"/>
        <v>0.13001778498234851</v>
      </c>
      <c r="P71" s="208">
        <f t="shared" si="64"/>
        <v>0.13001778498234851</v>
      </c>
      <c r="Q71" s="208">
        <f t="shared" si="64"/>
        <v>0.13001778498234851</v>
      </c>
      <c r="R71" s="208">
        <f t="shared" si="64"/>
        <v>0.13001778498234851</v>
      </c>
      <c r="S71" s="208">
        <f t="shared" si="64"/>
        <v>0.13001778498234851</v>
      </c>
      <c r="T71" s="208">
        <f t="shared" si="64"/>
        <v>0.13001778498234851</v>
      </c>
      <c r="U71" s="208">
        <f t="shared" si="64"/>
        <v>0.13001778498234851</v>
      </c>
      <c r="V71" s="208">
        <f t="shared" si="64"/>
        <v>0.13001778498234851</v>
      </c>
      <c r="W71" s="208">
        <f t="shared" si="64"/>
        <v>0.13001778498234851</v>
      </c>
      <c r="X71" s="208">
        <f t="shared" si="64"/>
        <v>0.13001778498234851</v>
      </c>
      <c r="Y71" s="208">
        <f t="shared" si="64"/>
        <v>0.13001778498234851</v>
      </c>
      <c r="Z71" s="208">
        <f t="shared" si="64"/>
        <v>0.13001778498234851</v>
      </c>
      <c r="AA71" s="208">
        <f t="shared" si="64"/>
        <v>0.13001778498234851</v>
      </c>
      <c r="AB71" s="208">
        <f t="shared" si="64"/>
        <v>0.13001778498234851</v>
      </c>
      <c r="AC71" s="208">
        <f t="shared" si="64"/>
        <v>0.13001778498234851</v>
      </c>
      <c r="AD71" s="208">
        <f t="shared" si="64"/>
        <v>0.13001778498234851</v>
      </c>
      <c r="AE71" s="208">
        <f t="shared" si="64"/>
        <v>0.13001778498234851</v>
      </c>
      <c r="AF71" s="208">
        <f t="shared" si="64"/>
        <v>0.13001778498234851</v>
      </c>
      <c r="AG71" s="208">
        <f t="shared" si="64"/>
        <v>0.13001778498234851</v>
      </c>
      <c r="AH71" s="208">
        <f t="shared" si="64"/>
        <v>0.13001778498234851</v>
      </c>
      <c r="AI71" s="208">
        <f t="shared" si="64"/>
        <v>0.13001778498234851</v>
      </c>
      <c r="AJ71" s="208">
        <f t="shared" si="64"/>
        <v>0.13001778498234851</v>
      </c>
      <c r="AK71" s="208">
        <f t="shared" si="64"/>
        <v>0.13001778498234851</v>
      </c>
      <c r="AL71" s="208">
        <f t="shared" si="64"/>
        <v>0.13001778498234851</v>
      </c>
      <c r="AM71" s="208">
        <f t="shared" si="64"/>
        <v>0.13001778498234851</v>
      </c>
      <c r="AN71" s="208">
        <f t="shared" si="64"/>
        <v>0.13001778498234851</v>
      </c>
      <c r="AO71" s="208">
        <f t="shared" si="64"/>
        <v>0.13001778498234851</v>
      </c>
      <c r="AP71" s="208">
        <f t="shared" si="64"/>
        <v>0.13001778498234851</v>
      </c>
      <c r="AQ71" s="208">
        <f t="shared" si="64"/>
        <v>0.13001778498234851</v>
      </c>
      <c r="AR71" s="208">
        <f t="shared" si="64"/>
        <v>0.13001778498234851</v>
      </c>
      <c r="AS71" s="208">
        <f t="shared" si="64"/>
        <v>0.13001778498234851</v>
      </c>
      <c r="AT71" s="208">
        <f t="shared" ref="AT71" si="65">1/(1+695*AT67*AT68*AT69*AT70)</f>
        <v>0.13001778498234851</v>
      </c>
    </row>
    <row r="72" spans="2:46">
      <c r="C72" s="1" t="s">
        <v>332</v>
      </c>
      <c r="F72" s="207">
        <f>IF($G48="Urban",EXP(0.1844),IF($G48="Rural",1))</f>
        <v>1</v>
      </c>
      <c r="G72" s="207">
        <f t="shared" ref="G72:AS72" si="66">IF($G48="Urban",EXP(0.1844),IF($G48="Rural",1))</f>
        <v>1</v>
      </c>
      <c r="H72" s="207">
        <f t="shared" si="66"/>
        <v>1</v>
      </c>
      <c r="I72" s="207">
        <f t="shared" si="66"/>
        <v>1</v>
      </c>
      <c r="J72" s="207">
        <f t="shared" si="66"/>
        <v>1</v>
      </c>
      <c r="K72" s="207">
        <f t="shared" si="66"/>
        <v>1</v>
      </c>
      <c r="L72" s="207">
        <f t="shared" si="66"/>
        <v>1</v>
      </c>
      <c r="M72" s="207">
        <f t="shared" si="66"/>
        <v>1</v>
      </c>
      <c r="N72" s="207">
        <f t="shared" si="66"/>
        <v>1</v>
      </c>
      <c r="O72" s="207">
        <f t="shared" si="66"/>
        <v>1</v>
      </c>
      <c r="P72" s="207">
        <f t="shared" si="66"/>
        <v>1</v>
      </c>
      <c r="Q72" s="207">
        <f t="shared" si="66"/>
        <v>1</v>
      </c>
      <c r="R72" s="207">
        <f t="shared" si="66"/>
        <v>1</v>
      </c>
      <c r="S72" s="207">
        <f t="shared" si="66"/>
        <v>1</v>
      </c>
      <c r="T72" s="207">
        <f t="shared" si="66"/>
        <v>1</v>
      </c>
      <c r="U72" s="207">
        <f t="shared" si="66"/>
        <v>1</v>
      </c>
      <c r="V72" s="207">
        <f t="shared" si="66"/>
        <v>1</v>
      </c>
      <c r="W72" s="207">
        <f t="shared" si="66"/>
        <v>1</v>
      </c>
      <c r="X72" s="207">
        <f t="shared" si="66"/>
        <v>1</v>
      </c>
      <c r="Y72" s="207">
        <f t="shared" si="66"/>
        <v>1</v>
      </c>
      <c r="Z72" s="207">
        <f t="shared" si="66"/>
        <v>1</v>
      </c>
      <c r="AA72" s="207">
        <f t="shared" si="66"/>
        <v>1</v>
      </c>
      <c r="AB72" s="207">
        <f t="shared" si="66"/>
        <v>1</v>
      </c>
      <c r="AC72" s="207">
        <f t="shared" si="66"/>
        <v>1</v>
      </c>
      <c r="AD72" s="207">
        <f t="shared" si="66"/>
        <v>1</v>
      </c>
      <c r="AE72" s="207">
        <f t="shared" si="66"/>
        <v>1</v>
      </c>
      <c r="AF72" s="207">
        <f t="shared" si="66"/>
        <v>1</v>
      </c>
      <c r="AG72" s="207">
        <f t="shared" si="66"/>
        <v>1</v>
      </c>
      <c r="AH72" s="207">
        <f t="shared" si="66"/>
        <v>1</v>
      </c>
      <c r="AI72" s="207">
        <f t="shared" si="66"/>
        <v>1</v>
      </c>
      <c r="AJ72" s="207">
        <f t="shared" si="66"/>
        <v>1</v>
      </c>
      <c r="AK72" s="207">
        <f t="shared" si="66"/>
        <v>1</v>
      </c>
      <c r="AL72" s="207">
        <f t="shared" si="66"/>
        <v>1</v>
      </c>
      <c r="AM72" s="207">
        <f t="shared" si="66"/>
        <v>1</v>
      </c>
      <c r="AN72" s="207">
        <f t="shared" si="66"/>
        <v>1</v>
      </c>
      <c r="AO72" s="207">
        <f t="shared" si="66"/>
        <v>1</v>
      </c>
      <c r="AP72" s="207">
        <f t="shared" si="66"/>
        <v>1</v>
      </c>
      <c r="AQ72" s="207">
        <f t="shared" si="66"/>
        <v>1</v>
      </c>
      <c r="AR72" s="207">
        <f t="shared" si="66"/>
        <v>1</v>
      </c>
      <c r="AS72" s="207">
        <f t="shared" si="66"/>
        <v>1</v>
      </c>
      <c r="AT72" s="207">
        <f t="shared" ref="AT72" si="67">IF($G48="Urban",EXP(0.1844),IF($G48="Rural",1))</f>
        <v>1</v>
      </c>
    </row>
    <row r="73" spans="2:46">
      <c r="C73" s="1" t="s">
        <v>333</v>
      </c>
      <c r="F73" s="207">
        <f>$T48^(-0.2334)</f>
        <v>0.3845736269611294</v>
      </c>
      <c r="G73" s="207">
        <f t="shared" ref="G73:AS73" si="68">$T48^(-0.2334)</f>
        <v>0.3845736269611294</v>
      </c>
      <c r="H73" s="207">
        <f t="shared" si="68"/>
        <v>0.3845736269611294</v>
      </c>
      <c r="I73" s="207">
        <f t="shared" si="68"/>
        <v>0.3845736269611294</v>
      </c>
      <c r="J73" s="207">
        <f t="shared" si="68"/>
        <v>0.3845736269611294</v>
      </c>
      <c r="K73" s="207">
        <f t="shared" si="68"/>
        <v>0.3845736269611294</v>
      </c>
      <c r="L73" s="207">
        <f t="shared" si="68"/>
        <v>0.3845736269611294</v>
      </c>
      <c r="M73" s="207">
        <f t="shared" si="68"/>
        <v>0.3845736269611294</v>
      </c>
      <c r="N73" s="207">
        <f t="shared" si="68"/>
        <v>0.3845736269611294</v>
      </c>
      <c r="O73" s="207">
        <f t="shared" si="68"/>
        <v>0.3845736269611294</v>
      </c>
      <c r="P73" s="207">
        <f t="shared" si="68"/>
        <v>0.3845736269611294</v>
      </c>
      <c r="Q73" s="207">
        <f t="shared" si="68"/>
        <v>0.3845736269611294</v>
      </c>
      <c r="R73" s="207">
        <f t="shared" si="68"/>
        <v>0.3845736269611294</v>
      </c>
      <c r="S73" s="207">
        <f t="shared" si="68"/>
        <v>0.3845736269611294</v>
      </c>
      <c r="T73" s="207">
        <f t="shared" si="68"/>
        <v>0.3845736269611294</v>
      </c>
      <c r="U73" s="207">
        <f t="shared" si="68"/>
        <v>0.3845736269611294</v>
      </c>
      <c r="V73" s="207">
        <f t="shared" si="68"/>
        <v>0.3845736269611294</v>
      </c>
      <c r="W73" s="207">
        <f t="shared" si="68"/>
        <v>0.3845736269611294</v>
      </c>
      <c r="X73" s="207">
        <f t="shared" si="68"/>
        <v>0.3845736269611294</v>
      </c>
      <c r="Y73" s="207">
        <f t="shared" si="68"/>
        <v>0.3845736269611294</v>
      </c>
      <c r="Z73" s="207">
        <f t="shared" si="68"/>
        <v>0.3845736269611294</v>
      </c>
      <c r="AA73" s="207">
        <f t="shared" si="68"/>
        <v>0.3845736269611294</v>
      </c>
      <c r="AB73" s="207">
        <f t="shared" si="68"/>
        <v>0.3845736269611294</v>
      </c>
      <c r="AC73" s="207">
        <f t="shared" si="68"/>
        <v>0.3845736269611294</v>
      </c>
      <c r="AD73" s="207">
        <f t="shared" si="68"/>
        <v>0.3845736269611294</v>
      </c>
      <c r="AE73" s="207">
        <f t="shared" si="68"/>
        <v>0.3845736269611294</v>
      </c>
      <c r="AF73" s="207">
        <f t="shared" si="68"/>
        <v>0.3845736269611294</v>
      </c>
      <c r="AG73" s="207">
        <f t="shared" si="68"/>
        <v>0.3845736269611294</v>
      </c>
      <c r="AH73" s="207">
        <f t="shared" si="68"/>
        <v>0.3845736269611294</v>
      </c>
      <c r="AI73" s="207">
        <f t="shared" si="68"/>
        <v>0.3845736269611294</v>
      </c>
      <c r="AJ73" s="207">
        <f t="shared" si="68"/>
        <v>0.3845736269611294</v>
      </c>
      <c r="AK73" s="207">
        <f t="shared" si="68"/>
        <v>0.3845736269611294</v>
      </c>
      <c r="AL73" s="207">
        <f t="shared" si="68"/>
        <v>0.3845736269611294</v>
      </c>
      <c r="AM73" s="207">
        <f t="shared" si="68"/>
        <v>0.3845736269611294</v>
      </c>
      <c r="AN73" s="207">
        <f t="shared" si="68"/>
        <v>0.3845736269611294</v>
      </c>
      <c r="AO73" s="207">
        <f t="shared" si="68"/>
        <v>0.3845736269611294</v>
      </c>
      <c r="AP73" s="207">
        <f t="shared" si="68"/>
        <v>0.3845736269611294</v>
      </c>
      <c r="AQ73" s="207">
        <f t="shared" si="68"/>
        <v>0.3845736269611294</v>
      </c>
      <c r="AR73" s="207">
        <f t="shared" si="68"/>
        <v>0.3845736269611294</v>
      </c>
      <c r="AS73" s="207">
        <f t="shared" si="68"/>
        <v>0.3845736269611294</v>
      </c>
      <c r="AT73" s="207">
        <f t="shared" ref="AT73" si="69">$T48^(-0.2334)</f>
        <v>0.3845736269611294</v>
      </c>
    </row>
    <row r="74" spans="2:46">
      <c r="C74" s="1" t="s">
        <v>334</v>
      </c>
      <c r="F74" s="207">
        <f>EXP($S48*0.1176)</f>
        <v>1.1247941037303228</v>
      </c>
      <c r="G74" s="207">
        <f t="shared" ref="G74:AS74" si="70">EXP($S48*0.1176)</f>
        <v>1.1247941037303228</v>
      </c>
      <c r="H74" s="207">
        <f t="shared" si="70"/>
        <v>1.1247941037303228</v>
      </c>
      <c r="I74" s="207">
        <f t="shared" si="70"/>
        <v>1.1247941037303228</v>
      </c>
      <c r="J74" s="207">
        <f t="shared" si="70"/>
        <v>1.1247941037303228</v>
      </c>
      <c r="K74" s="207">
        <f t="shared" si="70"/>
        <v>1.1247941037303228</v>
      </c>
      <c r="L74" s="207">
        <f t="shared" si="70"/>
        <v>1.1247941037303228</v>
      </c>
      <c r="M74" s="207">
        <f t="shared" si="70"/>
        <v>1.1247941037303228</v>
      </c>
      <c r="N74" s="207">
        <f t="shared" si="70"/>
        <v>1.1247941037303228</v>
      </c>
      <c r="O74" s="207">
        <f t="shared" si="70"/>
        <v>1.1247941037303228</v>
      </c>
      <c r="P74" s="207">
        <f t="shared" si="70"/>
        <v>1.1247941037303228</v>
      </c>
      <c r="Q74" s="207">
        <f t="shared" si="70"/>
        <v>1.1247941037303228</v>
      </c>
      <c r="R74" s="207">
        <f t="shared" si="70"/>
        <v>1.1247941037303228</v>
      </c>
      <c r="S74" s="207">
        <f t="shared" si="70"/>
        <v>1.1247941037303228</v>
      </c>
      <c r="T74" s="207">
        <f t="shared" si="70"/>
        <v>1.1247941037303228</v>
      </c>
      <c r="U74" s="207">
        <f t="shared" si="70"/>
        <v>1.1247941037303228</v>
      </c>
      <c r="V74" s="207">
        <f t="shared" si="70"/>
        <v>1.1247941037303228</v>
      </c>
      <c r="W74" s="207">
        <f t="shared" si="70"/>
        <v>1.1247941037303228</v>
      </c>
      <c r="X74" s="207">
        <f t="shared" si="70"/>
        <v>1.1247941037303228</v>
      </c>
      <c r="Y74" s="207">
        <f t="shared" si="70"/>
        <v>1.1247941037303228</v>
      </c>
      <c r="Z74" s="207">
        <f t="shared" si="70"/>
        <v>1.1247941037303228</v>
      </c>
      <c r="AA74" s="207">
        <f t="shared" si="70"/>
        <v>1.1247941037303228</v>
      </c>
      <c r="AB74" s="207">
        <f t="shared" si="70"/>
        <v>1.1247941037303228</v>
      </c>
      <c r="AC74" s="207">
        <f t="shared" si="70"/>
        <v>1.1247941037303228</v>
      </c>
      <c r="AD74" s="207">
        <f t="shared" si="70"/>
        <v>1.1247941037303228</v>
      </c>
      <c r="AE74" s="207">
        <f t="shared" si="70"/>
        <v>1.1247941037303228</v>
      </c>
      <c r="AF74" s="207">
        <f t="shared" si="70"/>
        <v>1.1247941037303228</v>
      </c>
      <c r="AG74" s="207">
        <f t="shared" si="70"/>
        <v>1.1247941037303228</v>
      </c>
      <c r="AH74" s="207">
        <f t="shared" si="70"/>
        <v>1.1247941037303228</v>
      </c>
      <c r="AI74" s="207">
        <f t="shared" si="70"/>
        <v>1.1247941037303228</v>
      </c>
      <c r="AJ74" s="207">
        <f t="shared" si="70"/>
        <v>1.1247941037303228</v>
      </c>
      <c r="AK74" s="207">
        <f t="shared" si="70"/>
        <v>1.1247941037303228</v>
      </c>
      <c r="AL74" s="207">
        <f t="shared" si="70"/>
        <v>1.1247941037303228</v>
      </c>
      <c r="AM74" s="207">
        <f t="shared" si="70"/>
        <v>1.1247941037303228</v>
      </c>
      <c r="AN74" s="207">
        <f t="shared" si="70"/>
        <v>1.1247941037303228</v>
      </c>
      <c r="AO74" s="207">
        <f t="shared" si="70"/>
        <v>1.1247941037303228</v>
      </c>
      <c r="AP74" s="207">
        <f t="shared" si="70"/>
        <v>1.1247941037303228</v>
      </c>
      <c r="AQ74" s="207">
        <f t="shared" si="70"/>
        <v>1.1247941037303228</v>
      </c>
      <c r="AR74" s="207">
        <f t="shared" si="70"/>
        <v>1.1247941037303228</v>
      </c>
      <c r="AS74" s="207">
        <f t="shared" si="70"/>
        <v>1.1247941037303228</v>
      </c>
      <c r="AT74" s="207">
        <f t="shared" ref="AT74" si="71">EXP($S48*0.1176)</f>
        <v>1.1247941037303228</v>
      </c>
    </row>
    <row r="75" spans="2:46">
      <c r="C75" s="1" t="s">
        <v>335</v>
      </c>
      <c r="F75" s="208">
        <f>(1-F71)/(1+4.28*F73*F74*F72)</f>
        <v>0.30510884729722137</v>
      </c>
      <c r="G75" s="208">
        <f t="shared" ref="G75:AS75" si="72">(1-G71)/(1+4.28*G73*G74*G72)</f>
        <v>0.30510884729722137</v>
      </c>
      <c r="H75" s="208">
        <f t="shared" si="72"/>
        <v>0.30510884729722137</v>
      </c>
      <c r="I75" s="208">
        <f t="shared" si="72"/>
        <v>0.30510884729722137</v>
      </c>
      <c r="J75" s="208">
        <f t="shared" si="72"/>
        <v>0.30510884729722137</v>
      </c>
      <c r="K75" s="208">
        <f t="shared" si="72"/>
        <v>0.30510884729722137</v>
      </c>
      <c r="L75" s="208">
        <f t="shared" si="72"/>
        <v>0.30510884729722137</v>
      </c>
      <c r="M75" s="208">
        <f t="shared" si="72"/>
        <v>0.30510884729722137</v>
      </c>
      <c r="N75" s="208">
        <f t="shared" si="72"/>
        <v>0.30510884729722137</v>
      </c>
      <c r="O75" s="208">
        <f t="shared" si="72"/>
        <v>0.30510884729722137</v>
      </c>
      <c r="P75" s="208">
        <f t="shared" si="72"/>
        <v>0.30510884729722137</v>
      </c>
      <c r="Q75" s="208">
        <f t="shared" si="72"/>
        <v>0.30510884729722137</v>
      </c>
      <c r="R75" s="208">
        <f t="shared" si="72"/>
        <v>0.30510884729722137</v>
      </c>
      <c r="S75" s="208">
        <f t="shared" si="72"/>
        <v>0.30510884729722137</v>
      </c>
      <c r="T75" s="208">
        <f t="shared" si="72"/>
        <v>0.30510884729722137</v>
      </c>
      <c r="U75" s="208">
        <f t="shared" si="72"/>
        <v>0.30510884729722137</v>
      </c>
      <c r="V75" s="208">
        <f t="shared" si="72"/>
        <v>0.30510884729722137</v>
      </c>
      <c r="W75" s="208">
        <f t="shared" si="72"/>
        <v>0.30510884729722137</v>
      </c>
      <c r="X75" s="208">
        <f t="shared" si="72"/>
        <v>0.30510884729722137</v>
      </c>
      <c r="Y75" s="208">
        <f t="shared" si="72"/>
        <v>0.30510884729722137</v>
      </c>
      <c r="Z75" s="208">
        <f t="shared" si="72"/>
        <v>0.30510884729722137</v>
      </c>
      <c r="AA75" s="208">
        <f t="shared" si="72"/>
        <v>0.30510884729722137</v>
      </c>
      <c r="AB75" s="208">
        <f t="shared" si="72"/>
        <v>0.30510884729722137</v>
      </c>
      <c r="AC75" s="208">
        <f t="shared" si="72"/>
        <v>0.30510884729722137</v>
      </c>
      <c r="AD75" s="208">
        <f t="shared" si="72"/>
        <v>0.30510884729722137</v>
      </c>
      <c r="AE75" s="208">
        <f t="shared" si="72"/>
        <v>0.30510884729722137</v>
      </c>
      <c r="AF75" s="208">
        <f t="shared" si="72"/>
        <v>0.30510884729722137</v>
      </c>
      <c r="AG75" s="208">
        <f t="shared" si="72"/>
        <v>0.30510884729722137</v>
      </c>
      <c r="AH75" s="208">
        <f t="shared" si="72"/>
        <v>0.30510884729722137</v>
      </c>
      <c r="AI75" s="208">
        <f t="shared" si="72"/>
        <v>0.30510884729722137</v>
      </c>
      <c r="AJ75" s="208">
        <f t="shared" si="72"/>
        <v>0.30510884729722137</v>
      </c>
      <c r="AK75" s="208">
        <f t="shared" si="72"/>
        <v>0.30510884729722137</v>
      </c>
      <c r="AL75" s="208">
        <f t="shared" si="72"/>
        <v>0.30510884729722137</v>
      </c>
      <c r="AM75" s="208">
        <f t="shared" si="72"/>
        <v>0.30510884729722137</v>
      </c>
      <c r="AN75" s="208">
        <f t="shared" si="72"/>
        <v>0.30510884729722137</v>
      </c>
      <c r="AO75" s="208">
        <f t="shared" si="72"/>
        <v>0.30510884729722137</v>
      </c>
      <c r="AP75" s="208">
        <f t="shared" si="72"/>
        <v>0.30510884729722137</v>
      </c>
      <c r="AQ75" s="208">
        <f t="shared" si="72"/>
        <v>0.30510884729722137</v>
      </c>
      <c r="AR75" s="208">
        <f t="shared" si="72"/>
        <v>0.30510884729722137</v>
      </c>
      <c r="AS75" s="208">
        <f t="shared" si="72"/>
        <v>0.30510884729722137</v>
      </c>
      <c r="AT75" s="208">
        <f t="shared" ref="AT75" si="73">(1-AT71)/(1+4.28*AT73*AT74*AT72)</f>
        <v>0.30510884729722137</v>
      </c>
    </row>
    <row r="77" spans="2:46">
      <c r="B77" t="str">
        <f>$C$12</f>
        <v>120th Avenue Interchange</v>
      </c>
    </row>
    <row r="78" spans="2:46">
      <c r="C78" s="1" t="s">
        <v>314</v>
      </c>
      <c r="F78" s="22">
        <f>IF($Q49="GATES",0.001088,IF($Q73="LIGHTS",0.003646,IF($Q73="PASS",0.002268)))</f>
        <v>1.088E-3</v>
      </c>
      <c r="G78" s="22">
        <f t="shared" ref="G78:AS78" si="74">IF($Q49="GATES",0.001088,IF($Q73="LIGHTS",0.003646,IF($Q73="PASS",0.002268)))</f>
        <v>1.088E-3</v>
      </c>
      <c r="H78" s="22">
        <f t="shared" si="74"/>
        <v>1.088E-3</v>
      </c>
      <c r="I78" s="22">
        <f t="shared" si="74"/>
        <v>1.088E-3</v>
      </c>
      <c r="J78" s="22">
        <f t="shared" si="74"/>
        <v>1.088E-3</v>
      </c>
      <c r="K78" s="22">
        <f t="shared" si="74"/>
        <v>1.088E-3</v>
      </c>
      <c r="L78" s="22">
        <f t="shared" si="74"/>
        <v>1.088E-3</v>
      </c>
      <c r="M78" s="22">
        <f t="shared" si="74"/>
        <v>1.088E-3</v>
      </c>
      <c r="N78" s="22">
        <f t="shared" si="74"/>
        <v>1.088E-3</v>
      </c>
      <c r="O78" s="22">
        <f t="shared" si="74"/>
        <v>1.088E-3</v>
      </c>
      <c r="P78" s="22">
        <f t="shared" si="74"/>
        <v>1.088E-3</v>
      </c>
      <c r="Q78" s="22">
        <f t="shared" si="74"/>
        <v>1.088E-3</v>
      </c>
      <c r="R78" s="22">
        <f t="shared" si="74"/>
        <v>1.088E-3</v>
      </c>
      <c r="S78" s="22">
        <f t="shared" si="74"/>
        <v>1.088E-3</v>
      </c>
      <c r="T78" s="22">
        <f t="shared" si="74"/>
        <v>1.088E-3</v>
      </c>
      <c r="U78" s="22">
        <f t="shared" si="74"/>
        <v>1.088E-3</v>
      </c>
      <c r="V78" s="22">
        <f t="shared" si="74"/>
        <v>1.088E-3</v>
      </c>
      <c r="W78" s="22">
        <f t="shared" si="74"/>
        <v>1.088E-3</v>
      </c>
      <c r="X78" s="22">
        <f t="shared" si="74"/>
        <v>1.088E-3</v>
      </c>
      <c r="Y78" s="22">
        <f t="shared" si="74"/>
        <v>1.088E-3</v>
      </c>
      <c r="Z78" s="22">
        <f t="shared" si="74"/>
        <v>1.088E-3</v>
      </c>
      <c r="AA78" s="22">
        <f t="shared" si="74"/>
        <v>1.088E-3</v>
      </c>
      <c r="AB78" s="22">
        <f t="shared" si="74"/>
        <v>1.088E-3</v>
      </c>
      <c r="AC78" s="22">
        <f t="shared" si="74"/>
        <v>1.088E-3</v>
      </c>
      <c r="AD78" s="22">
        <f t="shared" si="74"/>
        <v>1.088E-3</v>
      </c>
      <c r="AE78" s="22">
        <f t="shared" si="74"/>
        <v>1.088E-3</v>
      </c>
      <c r="AF78" s="22">
        <f t="shared" si="74"/>
        <v>1.088E-3</v>
      </c>
      <c r="AG78" s="22">
        <f t="shared" si="74"/>
        <v>1.088E-3</v>
      </c>
      <c r="AH78" s="22">
        <f t="shared" si="74"/>
        <v>1.088E-3</v>
      </c>
      <c r="AI78" s="22">
        <f t="shared" si="74"/>
        <v>1.088E-3</v>
      </c>
      <c r="AJ78" s="22">
        <f t="shared" si="74"/>
        <v>1.088E-3</v>
      </c>
      <c r="AK78" s="22">
        <f t="shared" si="74"/>
        <v>1.088E-3</v>
      </c>
      <c r="AL78" s="22">
        <f t="shared" si="74"/>
        <v>1.088E-3</v>
      </c>
      <c r="AM78" s="22">
        <f t="shared" si="74"/>
        <v>1.088E-3</v>
      </c>
      <c r="AN78" s="22">
        <f t="shared" si="74"/>
        <v>1.088E-3</v>
      </c>
      <c r="AO78" s="22">
        <f t="shared" si="74"/>
        <v>1.088E-3</v>
      </c>
      <c r="AP78" s="22">
        <f t="shared" si="74"/>
        <v>1.088E-3</v>
      </c>
      <c r="AQ78" s="22">
        <f t="shared" si="74"/>
        <v>1.088E-3</v>
      </c>
      <c r="AR78" s="22">
        <f t="shared" si="74"/>
        <v>1.088E-3</v>
      </c>
      <c r="AS78" s="22">
        <f t="shared" si="74"/>
        <v>1.088E-3</v>
      </c>
      <c r="AT78" s="22">
        <f t="shared" ref="AT78" si="75">IF($Q49="GATES",0.001088,IF($Q73="LIGHTS",0.003646,IF($Q73="PASS",0.002268)))</f>
        <v>1.088E-3</v>
      </c>
    </row>
    <row r="79" spans="2:46">
      <c r="C79" s="1" t="s">
        <v>315</v>
      </c>
      <c r="F79" s="48">
        <f t="shared" ref="F79:H79" si="76">$J79+(($AE79-$J79)/($AE$4-$J$4))*(F$4-$J$4)</f>
        <v>140.47619047619048</v>
      </c>
      <c r="G79" s="48">
        <f t="shared" si="76"/>
        <v>142.85714285714286</v>
      </c>
      <c r="H79" s="48">
        <f t="shared" si="76"/>
        <v>145.23809523809524</v>
      </c>
      <c r="I79" s="48">
        <f>$J79+(($AE79-$J79)/($AE$4-$J$4))*(I$4-$J$4)</f>
        <v>147.61904761904762</v>
      </c>
      <c r="J79" s="213">
        <f>'Travel Time Savings'!E49</f>
        <v>150</v>
      </c>
      <c r="K79" s="48">
        <f>$J79+(($AE79-$J79)/($AE$4-$J$4))*(K$4-$J$4)</f>
        <v>152.38095238095238</v>
      </c>
      <c r="L79" s="48">
        <f t="shared" ref="L79:AT79" si="77">$J79+(($AE79-$J79)/($AE$4-$J$4))*(L$4-$J$4)</f>
        <v>154.76190476190476</v>
      </c>
      <c r="M79" s="48">
        <f t="shared" si="77"/>
        <v>157.14285714285714</v>
      </c>
      <c r="N79" s="48">
        <f t="shared" si="77"/>
        <v>159.52380952380952</v>
      </c>
      <c r="O79" s="48">
        <f t="shared" si="77"/>
        <v>161.9047619047619</v>
      </c>
      <c r="P79" s="48">
        <f t="shared" si="77"/>
        <v>164.28571428571428</v>
      </c>
      <c r="Q79" s="48">
        <f t="shared" si="77"/>
        <v>166.66666666666666</v>
      </c>
      <c r="R79" s="48">
        <f t="shared" si="77"/>
        <v>169.04761904761904</v>
      </c>
      <c r="S79" s="48">
        <f t="shared" si="77"/>
        <v>171.42857142857142</v>
      </c>
      <c r="T79" s="48">
        <f t="shared" si="77"/>
        <v>173.8095238095238</v>
      </c>
      <c r="U79" s="48">
        <f t="shared" si="77"/>
        <v>176.1904761904762</v>
      </c>
      <c r="V79" s="48">
        <f t="shared" si="77"/>
        <v>178.57142857142856</v>
      </c>
      <c r="W79" s="48">
        <f t="shared" si="77"/>
        <v>180.95238095238096</v>
      </c>
      <c r="X79" s="48">
        <f t="shared" si="77"/>
        <v>183.33333333333334</v>
      </c>
      <c r="Y79" s="48">
        <f t="shared" si="77"/>
        <v>185.71428571428572</v>
      </c>
      <c r="Z79" s="48">
        <f t="shared" si="77"/>
        <v>188.0952380952381</v>
      </c>
      <c r="AA79" s="48">
        <f t="shared" si="77"/>
        <v>190.47619047619048</v>
      </c>
      <c r="AB79" s="48">
        <f t="shared" si="77"/>
        <v>192.85714285714286</v>
      </c>
      <c r="AC79" s="48">
        <f t="shared" si="77"/>
        <v>195.23809523809524</v>
      </c>
      <c r="AD79" s="48">
        <f t="shared" si="77"/>
        <v>197.61904761904762</v>
      </c>
      <c r="AE79" s="91">
        <f>'Travel Time Savings'!F49</f>
        <v>200</v>
      </c>
      <c r="AF79" s="48">
        <f t="shared" si="77"/>
        <v>202.38095238095238</v>
      </c>
      <c r="AG79" s="48">
        <f t="shared" si="77"/>
        <v>204.76190476190476</v>
      </c>
      <c r="AH79" s="48">
        <f t="shared" si="77"/>
        <v>207.14285714285714</v>
      </c>
      <c r="AI79" s="48">
        <f t="shared" si="77"/>
        <v>209.52380952380952</v>
      </c>
      <c r="AJ79" s="48">
        <f t="shared" si="77"/>
        <v>211.9047619047619</v>
      </c>
      <c r="AK79" s="48">
        <f t="shared" si="77"/>
        <v>214.28571428571428</v>
      </c>
      <c r="AL79" s="48">
        <f t="shared" si="77"/>
        <v>216.66666666666669</v>
      </c>
      <c r="AM79" s="48">
        <f t="shared" si="77"/>
        <v>219.04761904761904</v>
      </c>
      <c r="AN79" s="48">
        <f t="shared" si="77"/>
        <v>221.42857142857144</v>
      </c>
      <c r="AO79" s="48">
        <f t="shared" si="77"/>
        <v>223.8095238095238</v>
      </c>
      <c r="AP79" s="48">
        <f t="shared" si="77"/>
        <v>226.1904761904762</v>
      </c>
      <c r="AQ79" s="48">
        <f t="shared" si="77"/>
        <v>228.57142857142856</v>
      </c>
      <c r="AR79" s="48">
        <f t="shared" si="77"/>
        <v>230.95238095238096</v>
      </c>
      <c r="AS79" s="48">
        <f t="shared" si="77"/>
        <v>233.33333333333331</v>
      </c>
      <c r="AT79" s="48">
        <f t="shared" si="77"/>
        <v>235.71428571428572</v>
      </c>
    </row>
    <row r="80" spans="2:46">
      <c r="C80" s="1" t="s">
        <v>316</v>
      </c>
      <c r="F80" s="22">
        <f>$R$48</f>
        <v>10</v>
      </c>
      <c r="G80" s="22">
        <f t="shared" ref="G80:AT80" si="78">$R$48</f>
        <v>10</v>
      </c>
      <c r="H80" s="22">
        <f t="shared" si="78"/>
        <v>10</v>
      </c>
      <c r="I80" s="22">
        <f t="shared" si="78"/>
        <v>10</v>
      </c>
      <c r="J80" s="22">
        <f t="shared" si="78"/>
        <v>10</v>
      </c>
      <c r="K80" s="22">
        <f t="shared" si="78"/>
        <v>10</v>
      </c>
      <c r="L80" s="22">
        <f t="shared" si="78"/>
        <v>10</v>
      </c>
      <c r="M80" s="22">
        <f t="shared" si="78"/>
        <v>10</v>
      </c>
      <c r="N80" s="22">
        <f t="shared" si="78"/>
        <v>10</v>
      </c>
      <c r="O80" s="22">
        <f t="shared" si="78"/>
        <v>10</v>
      </c>
      <c r="P80" s="22">
        <f t="shared" si="78"/>
        <v>10</v>
      </c>
      <c r="Q80" s="22">
        <f t="shared" si="78"/>
        <v>10</v>
      </c>
      <c r="R80" s="22">
        <f t="shared" si="78"/>
        <v>10</v>
      </c>
      <c r="S80" s="22">
        <f t="shared" si="78"/>
        <v>10</v>
      </c>
      <c r="T80" s="22">
        <f t="shared" si="78"/>
        <v>10</v>
      </c>
      <c r="U80" s="22">
        <f t="shared" si="78"/>
        <v>10</v>
      </c>
      <c r="V80" s="22">
        <f t="shared" si="78"/>
        <v>10</v>
      </c>
      <c r="W80" s="22">
        <f t="shared" si="78"/>
        <v>10</v>
      </c>
      <c r="X80" s="22">
        <f t="shared" si="78"/>
        <v>10</v>
      </c>
      <c r="Y80" s="22">
        <f t="shared" si="78"/>
        <v>10</v>
      </c>
      <c r="Z80" s="22">
        <f t="shared" si="78"/>
        <v>10</v>
      </c>
      <c r="AA80" s="22">
        <f t="shared" si="78"/>
        <v>10</v>
      </c>
      <c r="AB80" s="22">
        <f t="shared" si="78"/>
        <v>10</v>
      </c>
      <c r="AC80" s="22">
        <f t="shared" si="78"/>
        <v>10</v>
      </c>
      <c r="AD80" s="22">
        <f t="shared" si="78"/>
        <v>10</v>
      </c>
      <c r="AE80" s="22">
        <f t="shared" si="78"/>
        <v>10</v>
      </c>
      <c r="AF80" s="22">
        <f t="shared" si="78"/>
        <v>10</v>
      </c>
      <c r="AG80" s="22">
        <f t="shared" si="78"/>
        <v>10</v>
      </c>
      <c r="AH80" s="22">
        <f t="shared" si="78"/>
        <v>10</v>
      </c>
      <c r="AI80" s="22">
        <f t="shared" si="78"/>
        <v>10</v>
      </c>
      <c r="AJ80" s="22">
        <f t="shared" si="78"/>
        <v>10</v>
      </c>
      <c r="AK80" s="22">
        <f t="shared" si="78"/>
        <v>10</v>
      </c>
      <c r="AL80" s="22">
        <f t="shared" si="78"/>
        <v>10</v>
      </c>
      <c r="AM80" s="22">
        <f t="shared" si="78"/>
        <v>10</v>
      </c>
      <c r="AN80" s="22">
        <f t="shared" si="78"/>
        <v>10</v>
      </c>
      <c r="AO80" s="22">
        <f t="shared" si="78"/>
        <v>10</v>
      </c>
      <c r="AP80" s="22">
        <f t="shared" si="78"/>
        <v>10</v>
      </c>
      <c r="AQ80" s="22">
        <f t="shared" si="78"/>
        <v>10</v>
      </c>
      <c r="AR80" s="22">
        <f t="shared" si="78"/>
        <v>10</v>
      </c>
      <c r="AS80" s="22">
        <f t="shared" si="78"/>
        <v>10</v>
      </c>
      <c r="AT80" s="22">
        <f t="shared" si="78"/>
        <v>10</v>
      </c>
    </row>
    <row r="81" spans="3:46">
      <c r="C81" s="1" t="s">
        <v>317</v>
      </c>
      <c r="E81" s="22">
        <f>IF($Q49="GATES",0.3116,IF($Q49="PASS",0.3334,IF($Q49="LIGHTS",0.2953)))</f>
        <v>0.31159999999999999</v>
      </c>
      <c r="F81" s="206">
        <f>((F79*F80+0.2)/0.2)^($E81)</f>
        <v>15.798335290816267</v>
      </c>
      <c r="G81" s="206">
        <f t="shared" ref="G81" si="79">((G79*G80+0.2)/0.2)^($E81)</f>
        <v>15.881278011959095</v>
      </c>
      <c r="H81" s="206">
        <f t="shared" ref="H81" si="80">((H79*H80+0.2)/0.2)^($E81)</f>
        <v>15.963274615137943</v>
      </c>
      <c r="I81" s="206">
        <f t="shared" ref="I81" si="81">((I79*I80+0.2)/0.2)^($E81)</f>
        <v>16.044351139217394</v>
      </c>
      <c r="J81" s="206">
        <f t="shared" ref="J81" si="82">((J79*J80+0.2)/0.2)^($E81)</f>
        <v>16.124532500249089</v>
      </c>
      <c r="K81" s="206">
        <f t="shared" ref="K81" si="83">((K79*K80+0.2)/0.2)^($E81)</f>
        <v>16.203842556850727</v>
      </c>
      <c r="L81" s="206">
        <f t="shared" ref="L81" si="84">((L79*L80+0.2)/0.2)^($E81)</f>
        <v>16.28230417082111</v>
      </c>
      <c r="M81" s="206">
        <f t="shared" ref="M81" si="85">((M79*M80+0.2)/0.2)^($E81)</f>
        <v>16.359939263406034</v>
      </c>
      <c r="N81" s="206">
        <f t="shared" ref="N81" si="86">((N79*N80+0.2)/0.2)^($E81)</f>
        <v>16.436768867587865</v>
      </c>
      <c r="O81" s="206">
        <f t="shared" ref="O81" si="87">((O79*O80+0.2)/0.2)^($E81)</f>
        <v>16.512813176734763</v>
      </c>
      <c r="P81" s="206">
        <f t="shared" ref="P81" si="88">((P79*P80+0.2)/0.2)^($E81)</f>
        <v>16.588091589912562</v>
      </c>
      <c r="Q81" s="206">
        <f t="shared" ref="Q81" si="89">((Q79*Q80+0.2)/0.2)^($E81)</f>
        <v>16.662622754132983</v>
      </c>
      <c r="R81" s="206">
        <f t="shared" ref="R81" si="90">((R79*R80+0.2)/0.2)^($E81)</f>
        <v>16.736424603786016</v>
      </c>
      <c r="S81" s="206">
        <f t="shared" ref="S81" si="91">((S79*S80+0.2)/0.2)^($E81)</f>
        <v>16.809514397481021</v>
      </c>
      <c r="T81" s="206">
        <f t="shared" ref="T81" si="92">((T79*T80+0.2)/0.2)^($E81)</f>
        <v>16.881908752500198</v>
      </c>
      <c r="U81" s="206">
        <f t="shared" ref="U81" si="93">((U79*U80+0.2)/0.2)^($E81)</f>
        <v>16.953623677049674</v>
      </c>
      <c r="V81" s="206">
        <f t="shared" ref="V81" si="94">((V79*V80+0.2)/0.2)^($E81)</f>
        <v>17.024674600476757</v>
      </c>
      <c r="W81" s="206">
        <f t="shared" ref="W81" si="95">((W79*W80+0.2)/0.2)^($E81)</f>
        <v>17.095076401606896</v>
      </c>
      <c r="X81" s="206">
        <f t="shared" ref="X81" si="96">((X79*X80+0.2)/0.2)^($E81)</f>
        <v>17.164843435340284</v>
      </c>
      <c r="Y81" s="206">
        <f t="shared" ref="Y81" si="97">((Y79*Y80+0.2)/0.2)^($E81)</f>
        <v>17.233989557636463</v>
      </c>
      <c r="Z81" s="206">
        <f t="shared" ref="Z81" si="98">((Z79*Z80+0.2)/0.2)^($E81)</f>
        <v>17.302528149003564</v>
      </c>
      <c r="AA81" s="206">
        <f t="shared" ref="AA81" si="99">((AA79*AA80+0.2)/0.2)^($E81)</f>
        <v>17.370472136599741</v>
      </c>
      <c r="AB81" s="206">
        <f t="shared" ref="AB81" si="100">((AB79*AB80+0.2)/0.2)^($E81)</f>
        <v>17.437834015044821</v>
      </c>
      <c r="AC81" s="206">
        <f t="shared" ref="AC81" si="101">((AC79*AC80+0.2)/0.2)^($E81)</f>
        <v>17.504625866032438</v>
      </c>
      <c r="AD81" s="206">
        <f t="shared" ref="AD81" si="102">((AD79*AD80+0.2)/0.2)^($E81)</f>
        <v>17.570859376825624</v>
      </c>
      <c r="AE81" s="206">
        <f t="shared" ref="AE81" si="103">((AE79*AE80+0.2)/0.2)^($E81)</f>
        <v>17.636545857711855</v>
      </c>
      <c r="AF81" s="206">
        <f t="shared" ref="AF81" si="104">((AF79*AF80+0.2)/0.2)^($E81)</f>
        <v>17.701696258487903</v>
      </c>
      <c r="AG81" s="206">
        <f t="shared" ref="AG81" si="105">((AG79*AG80+0.2)/0.2)^($E81)</f>
        <v>17.766321184039089</v>
      </c>
      <c r="AH81" s="206">
        <f t="shared" ref="AH81" si="106">((AH79*AH80+0.2)/0.2)^($E81)</f>
        <v>17.830430909072625</v>
      </c>
      <c r="AI81" s="206">
        <f t="shared" ref="AI81" si="107">((AI79*AI80+0.2)/0.2)^($E81)</f>
        <v>17.894035392060076</v>
      </c>
      <c r="AJ81" s="206">
        <f t="shared" ref="AJ81" si="108">((AJ79*AJ80+0.2)/0.2)^($E81)</f>
        <v>17.957144288439913</v>
      </c>
      <c r="AK81" s="206">
        <f t="shared" ref="AK81" si="109">((AK79*AK80+0.2)/0.2)^($E81)</f>
        <v>18.019766963127349</v>
      </c>
      <c r="AL81" s="206">
        <f t="shared" ref="AL81" si="110">((AL79*AL80+0.2)/0.2)^($E81)</f>
        <v>18.08191250237487</v>
      </c>
      <c r="AM81" s="206">
        <f t="shared" ref="AM81" si="111">((AM79*AM80+0.2)/0.2)^($E81)</f>
        <v>18.143589725024064</v>
      </c>
      <c r="AN81" s="206">
        <f t="shared" ref="AN81" si="112">((AN79*AN80+0.2)/0.2)^($E81)</f>
        <v>18.204807193186273</v>
      </c>
      <c r="AO81" s="206">
        <f t="shared" ref="AO81" si="113">((AO79*AO80+0.2)/0.2)^($E81)</f>
        <v>18.26557322238661</v>
      </c>
      <c r="AP81" s="206">
        <f t="shared" ref="AP81" si="114">((AP79*AP80+0.2)/0.2)^($E81)</f>
        <v>18.325895891204045</v>
      </c>
      <c r="AQ81" s="206">
        <f t="shared" ref="AQ81" si="115">((AQ79*AQ80+0.2)/0.2)^($E81)</f>
        <v>18.385783050437436</v>
      </c>
      <c r="AR81" s="206">
        <f t="shared" ref="AR81:AT81" si="116">((AR79*AR80+0.2)/0.2)^($E81)</f>
        <v>18.445242331825437</v>
      </c>
      <c r="AS81" s="206">
        <f t="shared" ref="AS81" si="117">((AS79*AS80+0.2)/0.2)^($E81)</f>
        <v>18.504281156346551</v>
      </c>
      <c r="AT81" s="206">
        <f t="shared" si="116"/>
        <v>18.562906742123396</v>
      </c>
    </row>
    <row r="82" spans="3:46">
      <c r="C82" s="1" t="s">
        <v>318</v>
      </c>
      <c r="E82" s="22">
        <f>IF($Q49="GATES",0.2912,IF($Q49="PASS",0.2094,IF($Q49="LIGHTS",0.1088)))</f>
        <v>0.29120000000000001</v>
      </c>
      <c r="F82" s="206">
        <f>EXP($E82*$S73)</f>
        <v>1.1184992598027081</v>
      </c>
      <c r="G82" s="206">
        <f t="shared" ref="G82:AS82" si="118">EXP($E82*$S73)</f>
        <v>1.1184992598027081</v>
      </c>
      <c r="H82" s="206">
        <f t="shared" si="118"/>
        <v>1.1184992598027081</v>
      </c>
      <c r="I82" s="206">
        <f t="shared" si="118"/>
        <v>1.1184992598027081</v>
      </c>
      <c r="J82" s="206">
        <f t="shared" si="118"/>
        <v>1.1184992598027081</v>
      </c>
      <c r="K82" s="206">
        <f t="shared" si="118"/>
        <v>1.1184992598027081</v>
      </c>
      <c r="L82" s="206">
        <f t="shared" si="118"/>
        <v>1.1184992598027081</v>
      </c>
      <c r="M82" s="206">
        <f t="shared" si="118"/>
        <v>1.1184992598027081</v>
      </c>
      <c r="N82" s="206">
        <f t="shared" si="118"/>
        <v>1.1184992598027081</v>
      </c>
      <c r="O82" s="206">
        <f t="shared" si="118"/>
        <v>1.1184992598027081</v>
      </c>
      <c r="P82" s="206">
        <f t="shared" si="118"/>
        <v>1.1184992598027081</v>
      </c>
      <c r="Q82" s="206">
        <f t="shared" si="118"/>
        <v>1.1184992598027081</v>
      </c>
      <c r="R82" s="206">
        <f t="shared" si="118"/>
        <v>1.1184992598027081</v>
      </c>
      <c r="S82" s="206">
        <f t="shared" si="118"/>
        <v>1.1184992598027081</v>
      </c>
      <c r="T82" s="206">
        <f t="shared" si="118"/>
        <v>1.1184992598027081</v>
      </c>
      <c r="U82" s="206">
        <f t="shared" si="118"/>
        <v>1.1184992598027081</v>
      </c>
      <c r="V82" s="206">
        <f t="shared" si="118"/>
        <v>1.1184992598027081</v>
      </c>
      <c r="W82" s="206">
        <f t="shared" si="118"/>
        <v>1.1184992598027081</v>
      </c>
      <c r="X82" s="206">
        <f t="shared" si="118"/>
        <v>1.1184992598027081</v>
      </c>
      <c r="Y82" s="206">
        <f t="shared" si="118"/>
        <v>1.1184992598027081</v>
      </c>
      <c r="Z82" s="206">
        <f t="shared" si="118"/>
        <v>1.1184992598027081</v>
      </c>
      <c r="AA82" s="206">
        <f t="shared" si="118"/>
        <v>1.1184992598027081</v>
      </c>
      <c r="AB82" s="206">
        <f t="shared" si="118"/>
        <v>1.1184992598027081</v>
      </c>
      <c r="AC82" s="206">
        <f t="shared" si="118"/>
        <v>1.1184992598027081</v>
      </c>
      <c r="AD82" s="206">
        <f t="shared" si="118"/>
        <v>1.1184992598027081</v>
      </c>
      <c r="AE82" s="206">
        <f t="shared" si="118"/>
        <v>1.1184992598027081</v>
      </c>
      <c r="AF82" s="206">
        <f t="shared" si="118"/>
        <v>1.1184992598027081</v>
      </c>
      <c r="AG82" s="206">
        <f t="shared" si="118"/>
        <v>1.1184992598027081</v>
      </c>
      <c r="AH82" s="206">
        <f t="shared" si="118"/>
        <v>1.1184992598027081</v>
      </c>
      <c r="AI82" s="206">
        <f t="shared" si="118"/>
        <v>1.1184992598027081</v>
      </c>
      <c r="AJ82" s="206">
        <f t="shared" si="118"/>
        <v>1.1184992598027081</v>
      </c>
      <c r="AK82" s="206">
        <f t="shared" si="118"/>
        <v>1.1184992598027081</v>
      </c>
      <c r="AL82" s="206">
        <f t="shared" si="118"/>
        <v>1.1184992598027081</v>
      </c>
      <c r="AM82" s="206">
        <f t="shared" si="118"/>
        <v>1.1184992598027081</v>
      </c>
      <c r="AN82" s="206">
        <f t="shared" si="118"/>
        <v>1.1184992598027081</v>
      </c>
      <c r="AO82" s="206">
        <f t="shared" si="118"/>
        <v>1.1184992598027081</v>
      </c>
      <c r="AP82" s="206">
        <f t="shared" si="118"/>
        <v>1.1184992598027081</v>
      </c>
      <c r="AQ82" s="206">
        <f t="shared" si="118"/>
        <v>1.1184992598027081</v>
      </c>
      <c r="AR82" s="206">
        <f t="shared" si="118"/>
        <v>1.1184992598027081</v>
      </c>
      <c r="AS82" s="206">
        <f t="shared" si="118"/>
        <v>1.1184992598027081</v>
      </c>
      <c r="AT82" s="206">
        <f t="shared" ref="AT82" si="119">EXP($E82*$S73)</f>
        <v>1.1184992598027081</v>
      </c>
    </row>
    <row r="83" spans="3:46">
      <c r="C83" s="1" t="s">
        <v>319</v>
      </c>
      <c r="F83" s="22">
        <f>$W$49</f>
        <v>5</v>
      </c>
      <c r="G83" s="22">
        <f t="shared" ref="G83:AT83" si="120">$W$49</f>
        <v>5</v>
      </c>
      <c r="H83" s="22">
        <f t="shared" si="120"/>
        <v>5</v>
      </c>
      <c r="I83" s="22">
        <f t="shared" si="120"/>
        <v>5</v>
      </c>
      <c r="J83" s="22">
        <f t="shared" si="120"/>
        <v>5</v>
      </c>
      <c r="K83" s="22">
        <f t="shared" si="120"/>
        <v>5</v>
      </c>
      <c r="L83" s="22">
        <f t="shared" si="120"/>
        <v>5</v>
      </c>
      <c r="M83" s="22">
        <f t="shared" si="120"/>
        <v>5</v>
      </c>
      <c r="N83" s="22">
        <f t="shared" si="120"/>
        <v>5</v>
      </c>
      <c r="O83" s="22">
        <f t="shared" si="120"/>
        <v>5</v>
      </c>
      <c r="P83" s="22">
        <f t="shared" si="120"/>
        <v>5</v>
      </c>
      <c r="Q83" s="22">
        <f t="shared" si="120"/>
        <v>5</v>
      </c>
      <c r="R83" s="22">
        <f t="shared" si="120"/>
        <v>5</v>
      </c>
      <c r="S83" s="22">
        <f t="shared" si="120"/>
        <v>5</v>
      </c>
      <c r="T83" s="22">
        <f t="shared" si="120"/>
        <v>5</v>
      </c>
      <c r="U83" s="22">
        <f t="shared" si="120"/>
        <v>5</v>
      </c>
      <c r="V83" s="22">
        <f t="shared" si="120"/>
        <v>5</v>
      </c>
      <c r="W83" s="22">
        <f t="shared" si="120"/>
        <v>5</v>
      </c>
      <c r="X83" s="22">
        <f t="shared" si="120"/>
        <v>5</v>
      </c>
      <c r="Y83" s="22">
        <f t="shared" si="120"/>
        <v>5</v>
      </c>
      <c r="Z83" s="22">
        <f t="shared" si="120"/>
        <v>5</v>
      </c>
      <c r="AA83" s="22">
        <f t="shared" si="120"/>
        <v>5</v>
      </c>
      <c r="AB83" s="22">
        <f t="shared" si="120"/>
        <v>5</v>
      </c>
      <c r="AC83" s="22">
        <f t="shared" si="120"/>
        <v>5</v>
      </c>
      <c r="AD83" s="22">
        <f t="shared" si="120"/>
        <v>5</v>
      </c>
      <c r="AE83" s="22">
        <f t="shared" si="120"/>
        <v>5</v>
      </c>
      <c r="AF83" s="22">
        <f t="shared" si="120"/>
        <v>5</v>
      </c>
      <c r="AG83" s="22">
        <f t="shared" si="120"/>
        <v>5</v>
      </c>
      <c r="AH83" s="22">
        <f t="shared" si="120"/>
        <v>5</v>
      </c>
      <c r="AI83" s="22">
        <f t="shared" si="120"/>
        <v>5</v>
      </c>
      <c r="AJ83" s="22">
        <f t="shared" si="120"/>
        <v>5</v>
      </c>
      <c r="AK83" s="22">
        <f t="shared" si="120"/>
        <v>5</v>
      </c>
      <c r="AL83" s="22">
        <f t="shared" si="120"/>
        <v>5</v>
      </c>
      <c r="AM83" s="22">
        <f t="shared" si="120"/>
        <v>5</v>
      </c>
      <c r="AN83" s="22">
        <f t="shared" si="120"/>
        <v>5</v>
      </c>
      <c r="AO83" s="22">
        <f t="shared" si="120"/>
        <v>5</v>
      </c>
      <c r="AP83" s="22">
        <f t="shared" si="120"/>
        <v>5</v>
      </c>
      <c r="AQ83" s="22">
        <f t="shared" si="120"/>
        <v>5</v>
      </c>
      <c r="AR83" s="22">
        <f t="shared" si="120"/>
        <v>5</v>
      </c>
      <c r="AS83" s="22">
        <f t="shared" si="120"/>
        <v>5</v>
      </c>
      <c r="AT83" s="22">
        <f t="shared" si="120"/>
        <v>5</v>
      </c>
    </row>
    <row r="84" spans="3:46">
      <c r="C84" s="1" t="s">
        <v>320</v>
      </c>
      <c r="E84" t="str">
        <f>IF($Q49="GATES","",IF($Q49="PASS",0.1336,IF($Q49="LIGHTS",0.047)))</f>
        <v/>
      </c>
      <c r="F84" s="188">
        <f>IF($Q49="GATES",1,((F83+0.2)/0.2)^$E84)</f>
        <v>1</v>
      </c>
      <c r="G84" s="188">
        <f t="shared" ref="G84:AS84" si="121">IF($Q49="GATES",1,((G83+0.2)/0.2)^$E84)</f>
        <v>1</v>
      </c>
      <c r="H84" s="188">
        <f t="shared" si="121"/>
        <v>1</v>
      </c>
      <c r="I84" s="188">
        <f t="shared" si="121"/>
        <v>1</v>
      </c>
      <c r="J84" s="188">
        <f t="shared" si="121"/>
        <v>1</v>
      </c>
      <c r="K84" s="188">
        <f t="shared" si="121"/>
        <v>1</v>
      </c>
      <c r="L84" s="188">
        <f t="shared" si="121"/>
        <v>1</v>
      </c>
      <c r="M84" s="188">
        <f t="shared" si="121"/>
        <v>1</v>
      </c>
      <c r="N84" s="188">
        <f t="shared" si="121"/>
        <v>1</v>
      </c>
      <c r="O84" s="188">
        <f t="shared" si="121"/>
        <v>1</v>
      </c>
      <c r="P84" s="188">
        <f t="shared" si="121"/>
        <v>1</v>
      </c>
      <c r="Q84" s="188">
        <f t="shared" si="121"/>
        <v>1</v>
      </c>
      <c r="R84" s="188">
        <f t="shared" si="121"/>
        <v>1</v>
      </c>
      <c r="S84" s="188">
        <f t="shared" si="121"/>
        <v>1</v>
      </c>
      <c r="T84" s="188">
        <f t="shared" si="121"/>
        <v>1</v>
      </c>
      <c r="U84" s="188">
        <f t="shared" si="121"/>
        <v>1</v>
      </c>
      <c r="V84" s="188">
        <f t="shared" si="121"/>
        <v>1</v>
      </c>
      <c r="W84" s="188">
        <f t="shared" si="121"/>
        <v>1</v>
      </c>
      <c r="X84" s="188">
        <f t="shared" si="121"/>
        <v>1</v>
      </c>
      <c r="Y84" s="188">
        <f t="shared" si="121"/>
        <v>1</v>
      </c>
      <c r="Z84" s="188">
        <f t="shared" si="121"/>
        <v>1</v>
      </c>
      <c r="AA84" s="188">
        <f t="shared" si="121"/>
        <v>1</v>
      </c>
      <c r="AB84" s="188">
        <f t="shared" si="121"/>
        <v>1</v>
      </c>
      <c r="AC84" s="188">
        <f t="shared" si="121"/>
        <v>1</v>
      </c>
      <c r="AD84" s="188">
        <f t="shared" si="121"/>
        <v>1</v>
      </c>
      <c r="AE84" s="188">
        <f t="shared" si="121"/>
        <v>1</v>
      </c>
      <c r="AF84" s="188">
        <f t="shared" si="121"/>
        <v>1</v>
      </c>
      <c r="AG84" s="188">
        <f t="shared" si="121"/>
        <v>1</v>
      </c>
      <c r="AH84" s="188">
        <f t="shared" si="121"/>
        <v>1</v>
      </c>
      <c r="AI84" s="188">
        <f t="shared" si="121"/>
        <v>1</v>
      </c>
      <c r="AJ84" s="188">
        <f t="shared" si="121"/>
        <v>1</v>
      </c>
      <c r="AK84" s="188">
        <f t="shared" si="121"/>
        <v>1</v>
      </c>
      <c r="AL84" s="188">
        <f t="shared" si="121"/>
        <v>1</v>
      </c>
      <c r="AM84" s="188">
        <f t="shared" si="121"/>
        <v>1</v>
      </c>
      <c r="AN84" s="188">
        <f t="shared" si="121"/>
        <v>1</v>
      </c>
      <c r="AO84" s="188">
        <f t="shared" si="121"/>
        <v>1</v>
      </c>
      <c r="AP84" s="188">
        <f t="shared" si="121"/>
        <v>1</v>
      </c>
      <c r="AQ84" s="188">
        <f t="shared" si="121"/>
        <v>1</v>
      </c>
      <c r="AR84" s="188">
        <f t="shared" si="121"/>
        <v>1</v>
      </c>
      <c r="AS84" s="188">
        <f t="shared" si="121"/>
        <v>1</v>
      </c>
      <c r="AT84" s="188">
        <f t="shared" ref="AT84" si="122">IF($Q49="GATES",1,((AT83+0.2)/0.2)^$E84)</f>
        <v>1</v>
      </c>
    </row>
    <row r="85" spans="3:46">
      <c r="C85" s="1" t="s">
        <v>321</v>
      </c>
      <c r="F85" s="188">
        <f>IF($Q49="PASS",EXP(-0.616*($AA49-1)),1)</f>
        <v>1</v>
      </c>
      <c r="G85" s="188">
        <f t="shared" ref="G85:AS85" si="123">IF($Q49="PASS",EXP(-0.616*($AA49-1)),1)</f>
        <v>1</v>
      </c>
      <c r="H85" s="188">
        <f t="shared" si="123"/>
        <v>1</v>
      </c>
      <c r="I85" s="188">
        <f t="shared" si="123"/>
        <v>1</v>
      </c>
      <c r="J85" s="188">
        <f t="shared" si="123"/>
        <v>1</v>
      </c>
      <c r="K85" s="188">
        <f t="shared" si="123"/>
        <v>1</v>
      </c>
      <c r="L85" s="188">
        <f t="shared" si="123"/>
        <v>1</v>
      </c>
      <c r="M85" s="188">
        <f t="shared" si="123"/>
        <v>1</v>
      </c>
      <c r="N85" s="188">
        <f t="shared" si="123"/>
        <v>1</v>
      </c>
      <c r="O85" s="188">
        <f t="shared" si="123"/>
        <v>1</v>
      </c>
      <c r="P85" s="188">
        <f t="shared" si="123"/>
        <v>1</v>
      </c>
      <c r="Q85" s="188">
        <f t="shared" si="123"/>
        <v>1</v>
      </c>
      <c r="R85" s="188">
        <f t="shared" si="123"/>
        <v>1</v>
      </c>
      <c r="S85" s="188">
        <f t="shared" si="123"/>
        <v>1</v>
      </c>
      <c r="T85" s="188">
        <f t="shared" si="123"/>
        <v>1</v>
      </c>
      <c r="U85" s="188">
        <f t="shared" si="123"/>
        <v>1</v>
      </c>
      <c r="V85" s="188">
        <f t="shared" si="123"/>
        <v>1</v>
      </c>
      <c r="W85" s="188">
        <f t="shared" si="123"/>
        <v>1</v>
      </c>
      <c r="X85" s="188">
        <f t="shared" si="123"/>
        <v>1</v>
      </c>
      <c r="Y85" s="188">
        <f t="shared" si="123"/>
        <v>1</v>
      </c>
      <c r="Z85" s="188">
        <f t="shared" si="123"/>
        <v>1</v>
      </c>
      <c r="AA85" s="188">
        <f t="shared" si="123"/>
        <v>1</v>
      </c>
      <c r="AB85" s="188">
        <f t="shared" si="123"/>
        <v>1</v>
      </c>
      <c r="AC85" s="188">
        <f t="shared" si="123"/>
        <v>1</v>
      </c>
      <c r="AD85" s="188">
        <f t="shared" si="123"/>
        <v>1</v>
      </c>
      <c r="AE85" s="188">
        <f t="shared" si="123"/>
        <v>1</v>
      </c>
      <c r="AF85" s="188">
        <f t="shared" si="123"/>
        <v>1</v>
      </c>
      <c r="AG85" s="188">
        <f t="shared" si="123"/>
        <v>1</v>
      </c>
      <c r="AH85" s="188">
        <f t="shared" si="123"/>
        <v>1</v>
      </c>
      <c r="AI85" s="188">
        <f t="shared" si="123"/>
        <v>1</v>
      </c>
      <c r="AJ85" s="188">
        <f t="shared" si="123"/>
        <v>1</v>
      </c>
      <c r="AK85" s="188">
        <f t="shared" si="123"/>
        <v>1</v>
      </c>
      <c r="AL85" s="188">
        <f t="shared" si="123"/>
        <v>1</v>
      </c>
      <c r="AM85" s="188">
        <f t="shared" si="123"/>
        <v>1</v>
      </c>
      <c r="AN85" s="188">
        <f t="shared" si="123"/>
        <v>1</v>
      </c>
      <c r="AO85" s="188">
        <f t="shared" si="123"/>
        <v>1</v>
      </c>
      <c r="AP85" s="188">
        <f t="shared" si="123"/>
        <v>1</v>
      </c>
      <c r="AQ85" s="188">
        <f t="shared" si="123"/>
        <v>1</v>
      </c>
      <c r="AR85" s="188">
        <f t="shared" si="123"/>
        <v>1</v>
      </c>
      <c r="AS85" s="188">
        <f t="shared" si="123"/>
        <v>1</v>
      </c>
      <c r="AT85" s="188">
        <f t="shared" ref="AT85" si="124">IF($Q49="PASS",EXP(-0.616*($AA49-1)),1)</f>
        <v>1</v>
      </c>
    </row>
    <row r="86" spans="3:46">
      <c r="C86" s="1" t="s">
        <v>322</v>
      </c>
      <c r="F86" s="188">
        <f>IF($Q49="PASS",EXP(0.0077*$T49),1)</f>
        <v>1</v>
      </c>
      <c r="G86" s="188">
        <f t="shared" ref="G86:AS86" si="125">IF($Q49="PASS",EXP(0.0077*$T49),1)</f>
        <v>1</v>
      </c>
      <c r="H86" s="188">
        <f t="shared" si="125"/>
        <v>1</v>
      </c>
      <c r="I86" s="188">
        <f t="shared" si="125"/>
        <v>1</v>
      </c>
      <c r="J86" s="188">
        <f t="shared" si="125"/>
        <v>1</v>
      </c>
      <c r="K86" s="188">
        <f t="shared" si="125"/>
        <v>1</v>
      </c>
      <c r="L86" s="188">
        <f t="shared" si="125"/>
        <v>1</v>
      </c>
      <c r="M86" s="188">
        <f t="shared" si="125"/>
        <v>1</v>
      </c>
      <c r="N86" s="188">
        <f t="shared" si="125"/>
        <v>1</v>
      </c>
      <c r="O86" s="188">
        <f t="shared" si="125"/>
        <v>1</v>
      </c>
      <c r="P86" s="188">
        <f t="shared" si="125"/>
        <v>1</v>
      </c>
      <c r="Q86" s="188">
        <f t="shared" si="125"/>
        <v>1</v>
      </c>
      <c r="R86" s="188">
        <f t="shared" si="125"/>
        <v>1</v>
      </c>
      <c r="S86" s="188">
        <f t="shared" si="125"/>
        <v>1</v>
      </c>
      <c r="T86" s="188">
        <f t="shared" si="125"/>
        <v>1</v>
      </c>
      <c r="U86" s="188">
        <f t="shared" si="125"/>
        <v>1</v>
      </c>
      <c r="V86" s="188">
        <f t="shared" si="125"/>
        <v>1</v>
      </c>
      <c r="W86" s="188">
        <f t="shared" si="125"/>
        <v>1</v>
      </c>
      <c r="X86" s="188">
        <f t="shared" si="125"/>
        <v>1</v>
      </c>
      <c r="Y86" s="188">
        <f t="shared" si="125"/>
        <v>1</v>
      </c>
      <c r="Z86" s="188">
        <f t="shared" si="125"/>
        <v>1</v>
      </c>
      <c r="AA86" s="188">
        <f t="shared" si="125"/>
        <v>1</v>
      </c>
      <c r="AB86" s="188">
        <f t="shared" si="125"/>
        <v>1</v>
      </c>
      <c r="AC86" s="188">
        <f t="shared" si="125"/>
        <v>1</v>
      </c>
      <c r="AD86" s="188">
        <f t="shared" si="125"/>
        <v>1</v>
      </c>
      <c r="AE86" s="188">
        <f t="shared" si="125"/>
        <v>1</v>
      </c>
      <c r="AF86" s="188">
        <f t="shared" si="125"/>
        <v>1</v>
      </c>
      <c r="AG86" s="188">
        <f t="shared" si="125"/>
        <v>1</v>
      </c>
      <c r="AH86" s="188">
        <f t="shared" si="125"/>
        <v>1</v>
      </c>
      <c r="AI86" s="188">
        <f t="shared" si="125"/>
        <v>1</v>
      </c>
      <c r="AJ86" s="188">
        <f t="shared" si="125"/>
        <v>1</v>
      </c>
      <c r="AK86" s="188">
        <f t="shared" si="125"/>
        <v>1</v>
      </c>
      <c r="AL86" s="188">
        <f t="shared" si="125"/>
        <v>1</v>
      </c>
      <c r="AM86" s="188">
        <f t="shared" si="125"/>
        <v>1</v>
      </c>
      <c r="AN86" s="188">
        <f t="shared" si="125"/>
        <v>1</v>
      </c>
      <c r="AO86" s="188">
        <f t="shared" si="125"/>
        <v>1</v>
      </c>
      <c r="AP86" s="188">
        <f t="shared" si="125"/>
        <v>1</v>
      </c>
      <c r="AQ86" s="188">
        <f t="shared" si="125"/>
        <v>1</v>
      </c>
      <c r="AR86" s="188">
        <f t="shared" si="125"/>
        <v>1</v>
      </c>
      <c r="AS86" s="188">
        <f t="shared" si="125"/>
        <v>1</v>
      </c>
      <c r="AT86" s="188">
        <f t="shared" ref="AT86" si="126">IF($Q49="PASS",EXP(0.0077*$T49),1)</f>
        <v>1</v>
      </c>
    </row>
    <row r="87" spans="3:46">
      <c r="C87" s="1" t="s">
        <v>323</v>
      </c>
      <c r="F87" s="188">
        <f>IF($Q49="PASS",EXP(-0.1*($Y49-1)),1)</f>
        <v>1</v>
      </c>
      <c r="G87" s="188">
        <f t="shared" ref="G87:AS87" si="127">IF($Q49="PASS",EXP(-0.1*($Y49-1)),1)</f>
        <v>1</v>
      </c>
      <c r="H87" s="188">
        <f t="shared" si="127"/>
        <v>1</v>
      </c>
      <c r="I87" s="188">
        <f t="shared" si="127"/>
        <v>1</v>
      </c>
      <c r="J87" s="188">
        <f t="shared" si="127"/>
        <v>1</v>
      </c>
      <c r="K87" s="188">
        <f t="shared" si="127"/>
        <v>1</v>
      </c>
      <c r="L87" s="188">
        <f t="shared" si="127"/>
        <v>1</v>
      </c>
      <c r="M87" s="188">
        <f t="shared" si="127"/>
        <v>1</v>
      </c>
      <c r="N87" s="188">
        <f t="shared" si="127"/>
        <v>1</v>
      </c>
      <c r="O87" s="188">
        <f t="shared" si="127"/>
        <v>1</v>
      </c>
      <c r="P87" s="188">
        <f t="shared" si="127"/>
        <v>1</v>
      </c>
      <c r="Q87" s="188">
        <f t="shared" si="127"/>
        <v>1</v>
      </c>
      <c r="R87" s="188">
        <f t="shared" si="127"/>
        <v>1</v>
      </c>
      <c r="S87" s="188">
        <f t="shared" si="127"/>
        <v>1</v>
      </c>
      <c r="T87" s="188">
        <f t="shared" si="127"/>
        <v>1</v>
      </c>
      <c r="U87" s="188">
        <f t="shared" si="127"/>
        <v>1</v>
      </c>
      <c r="V87" s="188">
        <f t="shared" si="127"/>
        <v>1</v>
      </c>
      <c r="W87" s="188">
        <f t="shared" si="127"/>
        <v>1</v>
      </c>
      <c r="X87" s="188">
        <f t="shared" si="127"/>
        <v>1</v>
      </c>
      <c r="Y87" s="188">
        <f t="shared" si="127"/>
        <v>1</v>
      </c>
      <c r="Z87" s="188">
        <f t="shared" si="127"/>
        <v>1</v>
      </c>
      <c r="AA87" s="188">
        <f t="shared" si="127"/>
        <v>1</v>
      </c>
      <c r="AB87" s="188">
        <f t="shared" si="127"/>
        <v>1</v>
      </c>
      <c r="AC87" s="188">
        <f t="shared" si="127"/>
        <v>1</v>
      </c>
      <c r="AD87" s="188">
        <f t="shared" si="127"/>
        <v>1</v>
      </c>
      <c r="AE87" s="188">
        <f t="shared" si="127"/>
        <v>1</v>
      </c>
      <c r="AF87" s="188">
        <f t="shared" si="127"/>
        <v>1</v>
      </c>
      <c r="AG87" s="188">
        <f t="shared" si="127"/>
        <v>1</v>
      </c>
      <c r="AH87" s="188">
        <f t="shared" si="127"/>
        <v>1</v>
      </c>
      <c r="AI87" s="188">
        <f t="shared" si="127"/>
        <v>1</v>
      </c>
      <c r="AJ87" s="188">
        <f t="shared" si="127"/>
        <v>1</v>
      </c>
      <c r="AK87" s="188">
        <f t="shared" si="127"/>
        <v>1</v>
      </c>
      <c r="AL87" s="188">
        <f t="shared" si="127"/>
        <v>1</v>
      </c>
      <c r="AM87" s="188">
        <f t="shared" si="127"/>
        <v>1</v>
      </c>
      <c r="AN87" s="188">
        <f t="shared" si="127"/>
        <v>1</v>
      </c>
      <c r="AO87" s="188">
        <f t="shared" si="127"/>
        <v>1</v>
      </c>
      <c r="AP87" s="188">
        <f t="shared" si="127"/>
        <v>1</v>
      </c>
      <c r="AQ87" s="188">
        <f t="shared" si="127"/>
        <v>1</v>
      </c>
      <c r="AR87" s="188">
        <f t="shared" si="127"/>
        <v>1</v>
      </c>
      <c r="AS87" s="188">
        <f t="shared" si="127"/>
        <v>1</v>
      </c>
      <c r="AT87" s="188">
        <f t="shared" ref="AT87" si="128">IF($Q49="PASS",EXP(-0.1*($Y49-1)),1)</f>
        <v>1</v>
      </c>
    </row>
    <row r="88" spans="3:46">
      <c r="C88" s="1" t="s">
        <v>324</v>
      </c>
      <c r="E88" s="1">
        <f>IF($Q49="GATES",0.1036,IF($Q49="PASS","",IF($Q49="LIGHTS",0.138)))</f>
        <v>0.1036</v>
      </c>
      <c r="F88" s="188">
        <f>IF($Q49="PASS",1,EXP($E88*($U49-1)))</f>
        <v>1.1091567034898182</v>
      </c>
      <c r="G88" s="188">
        <f t="shared" ref="G88:AS88" si="129">IF($Q49="PASS",1,EXP($E88*($U49-1)))</f>
        <v>1.1091567034898182</v>
      </c>
      <c r="H88" s="188">
        <f t="shared" si="129"/>
        <v>1.1091567034898182</v>
      </c>
      <c r="I88" s="188">
        <f t="shared" si="129"/>
        <v>1.1091567034898182</v>
      </c>
      <c r="J88" s="188">
        <f t="shared" si="129"/>
        <v>1.1091567034898182</v>
      </c>
      <c r="K88" s="188">
        <f t="shared" si="129"/>
        <v>1.1091567034898182</v>
      </c>
      <c r="L88" s="188">
        <f t="shared" si="129"/>
        <v>1.1091567034898182</v>
      </c>
      <c r="M88" s="188">
        <f t="shared" si="129"/>
        <v>1.1091567034898182</v>
      </c>
      <c r="N88" s="188">
        <f t="shared" si="129"/>
        <v>1.1091567034898182</v>
      </c>
      <c r="O88" s="188">
        <f t="shared" si="129"/>
        <v>1.1091567034898182</v>
      </c>
      <c r="P88" s="188">
        <f t="shared" si="129"/>
        <v>1.1091567034898182</v>
      </c>
      <c r="Q88" s="188">
        <f t="shared" si="129"/>
        <v>1.1091567034898182</v>
      </c>
      <c r="R88" s="188">
        <f t="shared" si="129"/>
        <v>1.1091567034898182</v>
      </c>
      <c r="S88" s="188">
        <f t="shared" si="129"/>
        <v>1.1091567034898182</v>
      </c>
      <c r="T88" s="188">
        <f t="shared" si="129"/>
        <v>1.1091567034898182</v>
      </c>
      <c r="U88" s="188">
        <f t="shared" si="129"/>
        <v>1.1091567034898182</v>
      </c>
      <c r="V88" s="188">
        <f t="shared" si="129"/>
        <v>1.1091567034898182</v>
      </c>
      <c r="W88" s="188">
        <f t="shared" si="129"/>
        <v>1.1091567034898182</v>
      </c>
      <c r="X88" s="188">
        <f t="shared" si="129"/>
        <v>1.1091567034898182</v>
      </c>
      <c r="Y88" s="188">
        <f t="shared" si="129"/>
        <v>1.1091567034898182</v>
      </c>
      <c r="Z88" s="188">
        <f t="shared" si="129"/>
        <v>1.1091567034898182</v>
      </c>
      <c r="AA88" s="188">
        <f t="shared" si="129"/>
        <v>1.1091567034898182</v>
      </c>
      <c r="AB88" s="188">
        <f t="shared" si="129"/>
        <v>1.1091567034898182</v>
      </c>
      <c r="AC88" s="188">
        <f t="shared" si="129"/>
        <v>1.1091567034898182</v>
      </c>
      <c r="AD88" s="188">
        <f t="shared" si="129"/>
        <v>1.1091567034898182</v>
      </c>
      <c r="AE88" s="188">
        <f t="shared" si="129"/>
        <v>1.1091567034898182</v>
      </c>
      <c r="AF88" s="188">
        <f t="shared" si="129"/>
        <v>1.1091567034898182</v>
      </c>
      <c r="AG88" s="188">
        <f t="shared" si="129"/>
        <v>1.1091567034898182</v>
      </c>
      <c r="AH88" s="188">
        <f t="shared" si="129"/>
        <v>1.1091567034898182</v>
      </c>
      <c r="AI88" s="188">
        <f t="shared" si="129"/>
        <v>1.1091567034898182</v>
      </c>
      <c r="AJ88" s="188">
        <f t="shared" si="129"/>
        <v>1.1091567034898182</v>
      </c>
      <c r="AK88" s="188">
        <f t="shared" si="129"/>
        <v>1.1091567034898182</v>
      </c>
      <c r="AL88" s="188">
        <f t="shared" si="129"/>
        <v>1.1091567034898182</v>
      </c>
      <c r="AM88" s="188">
        <f t="shared" si="129"/>
        <v>1.1091567034898182</v>
      </c>
      <c r="AN88" s="188">
        <f t="shared" si="129"/>
        <v>1.1091567034898182</v>
      </c>
      <c r="AO88" s="188">
        <f t="shared" si="129"/>
        <v>1.1091567034898182</v>
      </c>
      <c r="AP88" s="188">
        <f t="shared" si="129"/>
        <v>1.1091567034898182</v>
      </c>
      <c r="AQ88" s="188">
        <f t="shared" si="129"/>
        <v>1.1091567034898182</v>
      </c>
      <c r="AR88" s="188">
        <f t="shared" si="129"/>
        <v>1.1091567034898182</v>
      </c>
      <c r="AS88" s="188">
        <f t="shared" si="129"/>
        <v>1.1091567034898182</v>
      </c>
      <c r="AT88" s="188">
        <f t="shared" ref="AT88" si="130">IF($Q49="PASS",1,EXP($E88*($U49-1)))</f>
        <v>1.1091567034898182</v>
      </c>
    </row>
    <row r="89" spans="3:46">
      <c r="C89" s="1" t="s">
        <v>325</v>
      </c>
      <c r="F89" s="221">
        <f>ROUND(F78*F81*F82*F84*F85*F86*F87*F88,3)</f>
        <v>2.1000000000000001E-2</v>
      </c>
      <c r="G89" s="215">
        <f t="shared" ref="G89" si="131">ROUND(G78*G81*G82*G84*G85*G86*G87*G88,3)</f>
        <v>2.1000000000000001E-2</v>
      </c>
      <c r="H89" s="215">
        <f t="shared" ref="H89" si="132">ROUND(H78*H81*H82*H84*H85*H86*H87*H88,3)</f>
        <v>2.1999999999999999E-2</v>
      </c>
      <c r="I89" s="215">
        <f t="shared" ref="I89" si="133">ROUND(I78*I81*I82*I84*I85*I86*I87*I88,3)</f>
        <v>2.1999999999999999E-2</v>
      </c>
      <c r="J89" s="215">
        <f t="shared" ref="J89" si="134">ROUND(J78*J81*J82*J84*J85*J86*J87*J88,3)</f>
        <v>2.1999999999999999E-2</v>
      </c>
      <c r="K89" s="215">
        <f t="shared" ref="K89" si="135">ROUND(K78*K81*K82*K84*K85*K86*K87*K88,3)</f>
        <v>2.1999999999999999E-2</v>
      </c>
      <c r="L89" s="215">
        <f t="shared" ref="L89" si="136">ROUND(L78*L81*L82*L84*L85*L86*L87*L88,3)</f>
        <v>2.1999999999999999E-2</v>
      </c>
      <c r="M89" s="215">
        <f t="shared" ref="M89" si="137">ROUND(M78*M81*M82*M84*M85*M86*M87*M88,3)</f>
        <v>2.1999999999999999E-2</v>
      </c>
      <c r="N89" s="215">
        <f t="shared" ref="N89" si="138">ROUND(N78*N81*N82*N84*N85*N86*N87*N88,3)</f>
        <v>2.1999999999999999E-2</v>
      </c>
      <c r="O89" s="215">
        <f t="shared" ref="O89" si="139">ROUND(O78*O81*O82*O84*O85*O86*O87*O88,3)</f>
        <v>2.1999999999999999E-2</v>
      </c>
      <c r="P89" s="215">
        <f t="shared" ref="P89" si="140">ROUND(P78*P81*P82*P84*P85*P86*P87*P88,3)</f>
        <v>2.1999999999999999E-2</v>
      </c>
      <c r="Q89" s="215">
        <f t="shared" ref="Q89" si="141">ROUND(Q78*Q81*Q82*Q84*Q85*Q86*Q87*Q88,3)</f>
        <v>2.1999999999999999E-2</v>
      </c>
      <c r="R89" s="215">
        <f t="shared" ref="R89" si="142">ROUND(R78*R81*R82*R84*R85*R86*R87*R88,3)</f>
        <v>2.3E-2</v>
      </c>
      <c r="S89" s="215">
        <f t="shared" ref="S89" si="143">ROUND(S78*S81*S82*S84*S85*S86*S87*S88,3)</f>
        <v>2.3E-2</v>
      </c>
      <c r="T89" s="215">
        <f t="shared" ref="T89" si="144">ROUND(T78*T81*T82*T84*T85*T86*T87*T88,3)</f>
        <v>2.3E-2</v>
      </c>
      <c r="U89" s="215">
        <f t="shared" ref="U89" si="145">ROUND(U78*U81*U82*U84*U85*U86*U87*U88,3)</f>
        <v>2.3E-2</v>
      </c>
      <c r="V89" s="215">
        <f t="shared" ref="V89" si="146">ROUND(V78*V81*V82*V84*V85*V86*V87*V88,3)</f>
        <v>2.3E-2</v>
      </c>
      <c r="W89" s="215">
        <f t="shared" ref="W89" si="147">ROUND(W78*W81*W82*W84*W85*W86*W87*W88,3)</f>
        <v>2.3E-2</v>
      </c>
      <c r="X89" s="215">
        <f t="shared" ref="X89" si="148">ROUND(X78*X81*X82*X84*X85*X86*X87*X88,3)</f>
        <v>2.3E-2</v>
      </c>
      <c r="Y89" s="215">
        <f t="shared" ref="Y89" si="149">ROUND(Y78*Y81*Y82*Y84*Y85*Y86*Y87*Y88,3)</f>
        <v>2.3E-2</v>
      </c>
      <c r="Z89" s="215">
        <f t="shared" ref="Z89" si="150">ROUND(Z78*Z81*Z82*Z84*Z85*Z86*Z87*Z88,3)</f>
        <v>2.3E-2</v>
      </c>
      <c r="AA89" s="215">
        <f t="shared" ref="AA89" si="151">ROUND(AA78*AA81*AA82*AA84*AA85*AA86*AA87*AA88,3)</f>
        <v>2.3E-2</v>
      </c>
      <c r="AB89" s="215">
        <f t="shared" ref="AB89" si="152">ROUND(AB78*AB81*AB82*AB84*AB85*AB86*AB87*AB88,3)</f>
        <v>2.4E-2</v>
      </c>
      <c r="AC89" s="215">
        <f t="shared" ref="AC89" si="153">ROUND(AC78*AC81*AC82*AC84*AC85*AC86*AC87*AC88,3)</f>
        <v>2.4E-2</v>
      </c>
      <c r="AD89" s="215">
        <f t="shared" ref="AD89" si="154">ROUND(AD78*AD81*AD82*AD84*AD85*AD86*AD87*AD88,3)</f>
        <v>2.4E-2</v>
      </c>
      <c r="AE89" s="215">
        <f t="shared" ref="AE89" si="155">ROUND(AE78*AE81*AE82*AE84*AE85*AE86*AE87*AE88,3)</f>
        <v>2.4E-2</v>
      </c>
      <c r="AF89" s="215">
        <f t="shared" ref="AF89" si="156">ROUND(AF78*AF81*AF82*AF84*AF85*AF86*AF87*AF88,3)</f>
        <v>2.4E-2</v>
      </c>
      <c r="AG89" s="215">
        <f t="shared" ref="AG89" si="157">ROUND(AG78*AG81*AG82*AG84*AG85*AG86*AG87*AG88,3)</f>
        <v>2.4E-2</v>
      </c>
      <c r="AH89" s="215">
        <f t="shared" ref="AH89" si="158">ROUND(AH78*AH81*AH82*AH84*AH85*AH86*AH87*AH88,3)</f>
        <v>2.4E-2</v>
      </c>
      <c r="AI89" s="215">
        <f t="shared" ref="AI89" si="159">ROUND(AI78*AI81*AI82*AI84*AI85*AI86*AI87*AI88,3)</f>
        <v>2.4E-2</v>
      </c>
      <c r="AJ89" s="215">
        <f t="shared" ref="AJ89" si="160">ROUND(AJ78*AJ81*AJ82*AJ84*AJ85*AJ86*AJ87*AJ88,3)</f>
        <v>2.4E-2</v>
      </c>
      <c r="AK89" s="215">
        <f t="shared" ref="AK89" si="161">ROUND(AK78*AK81*AK82*AK84*AK85*AK86*AK87*AK88,3)</f>
        <v>2.4E-2</v>
      </c>
      <c r="AL89" s="215">
        <f t="shared" ref="AL89" si="162">ROUND(AL78*AL81*AL82*AL84*AL85*AL86*AL87*AL88,3)</f>
        <v>2.4E-2</v>
      </c>
      <c r="AM89" s="215">
        <f t="shared" ref="AM89" si="163">ROUND(AM78*AM81*AM82*AM84*AM85*AM86*AM87*AM88,3)</f>
        <v>2.4E-2</v>
      </c>
      <c r="AN89" s="215">
        <f t="shared" ref="AN89" si="164">ROUND(AN78*AN81*AN82*AN84*AN85*AN86*AN87*AN88,3)</f>
        <v>2.5000000000000001E-2</v>
      </c>
      <c r="AO89" s="215">
        <f t="shared" ref="AO89" si="165">ROUND(AO78*AO81*AO82*AO84*AO85*AO86*AO87*AO88,3)</f>
        <v>2.5000000000000001E-2</v>
      </c>
      <c r="AP89" s="215">
        <f t="shared" ref="AP89" si="166">ROUND(AP78*AP81*AP82*AP84*AP85*AP86*AP87*AP88,3)</f>
        <v>2.5000000000000001E-2</v>
      </c>
      <c r="AQ89" s="215">
        <f t="shared" ref="AQ89" si="167">ROUND(AQ78*AQ81*AQ82*AQ84*AQ85*AQ86*AQ87*AQ88,3)</f>
        <v>2.5000000000000001E-2</v>
      </c>
      <c r="AR89" s="215">
        <f t="shared" ref="AR89:AT89" si="168">ROUND(AR78*AR81*AR82*AR84*AR85*AR86*AR87*AR88,3)</f>
        <v>2.5000000000000001E-2</v>
      </c>
      <c r="AS89" s="215">
        <f t="shared" ref="AS89" si="169">ROUND(AS78*AS81*AS82*AS84*AS85*AS86*AS87*AS88,3)</f>
        <v>2.5000000000000001E-2</v>
      </c>
      <c r="AT89" s="215">
        <f t="shared" si="168"/>
        <v>2.5000000000000001E-2</v>
      </c>
    </row>
    <row r="90" spans="3:46">
      <c r="C90" s="1" t="s">
        <v>326</v>
      </c>
      <c r="F90" s="198">
        <f>_xlfn.XLOOKUP(F89,$C$107:$MA$107,$C$108:$MA$108)</f>
        <v>1.5600000000000001E-2</v>
      </c>
      <c r="G90" s="198">
        <f t="shared" ref="G90" si="170">_xlfn.XLOOKUP(G89,$C$107:$MA$107,$C$108:$MA$108)</f>
        <v>1.5600000000000001E-2</v>
      </c>
      <c r="H90" s="198">
        <f t="shared" ref="H90" si="171">_xlfn.XLOOKUP(H89,$C$107:$MA$107,$C$108:$MA$108)</f>
        <v>1.6199999999999999E-2</v>
      </c>
      <c r="I90" s="198">
        <f t="shared" ref="I90" si="172">_xlfn.XLOOKUP(I89,$C$107:$MA$107,$C$108:$MA$108)</f>
        <v>1.6199999999999999E-2</v>
      </c>
      <c r="J90" s="198">
        <f t="shared" ref="J90" si="173">_xlfn.XLOOKUP(J89,$C$107:$MA$107,$C$108:$MA$108)</f>
        <v>1.6199999999999999E-2</v>
      </c>
      <c r="K90" s="198">
        <f t="shared" ref="K90" si="174">_xlfn.XLOOKUP(K89,$C$107:$MA$107,$C$108:$MA$108)</f>
        <v>1.6199999999999999E-2</v>
      </c>
      <c r="L90" s="198">
        <f t="shared" ref="L90" si="175">_xlfn.XLOOKUP(L89,$C$107:$MA$107,$C$108:$MA$108)</f>
        <v>1.6199999999999999E-2</v>
      </c>
      <c r="M90" s="198">
        <f t="shared" ref="M90" si="176">_xlfn.XLOOKUP(M89,$C$107:$MA$107,$C$108:$MA$108)</f>
        <v>1.6199999999999999E-2</v>
      </c>
      <c r="N90" s="198">
        <f t="shared" ref="N90" si="177">_xlfn.XLOOKUP(N89,$C$107:$MA$107,$C$108:$MA$108)</f>
        <v>1.6199999999999999E-2</v>
      </c>
      <c r="O90" s="198">
        <f t="shared" ref="O90" si="178">_xlfn.XLOOKUP(O89,$C$107:$MA$107,$C$108:$MA$108)</f>
        <v>1.6199999999999999E-2</v>
      </c>
      <c r="P90" s="198">
        <f t="shared" ref="P90" si="179">_xlfn.XLOOKUP(P89,$C$107:$MA$107,$C$108:$MA$108)</f>
        <v>1.6199999999999999E-2</v>
      </c>
      <c r="Q90" s="198">
        <f t="shared" ref="Q90" si="180">_xlfn.XLOOKUP(Q89,$C$107:$MA$107,$C$108:$MA$108)</f>
        <v>1.6199999999999999E-2</v>
      </c>
      <c r="R90" s="198">
        <f t="shared" ref="R90" si="181">_xlfn.XLOOKUP(R89,$C$107:$MA$107,$C$108:$MA$108)</f>
        <v>1.6799999999999999E-2</v>
      </c>
      <c r="S90" s="198">
        <f t="shared" ref="S90" si="182">_xlfn.XLOOKUP(S89,$C$107:$MA$107,$C$108:$MA$108)</f>
        <v>1.6799999999999999E-2</v>
      </c>
      <c r="T90" s="198">
        <f t="shared" ref="T90" si="183">_xlfn.XLOOKUP(T89,$C$107:$MA$107,$C$108:$MA$108)</f>
        <v>1.6799999999999999E-2</v>
      </c>
      <c r="U90" s="198">
        <f t="shared" ref="U90" si="184">_xlfn.XLOOKUP(U89,$C$107:$MA$107,$C$108:$MA$108)</f>
        <v>1.6799999999999999E-2</v>
      </c>
      <c r="V90" s="198">
        <f t="shared" ref="V90" si="185">_xlfn.XLOOKUP(V89,$C$107:$MA$107,$C$108:$MA$108)</f>
        <v>1.6799999999999999E-2</v>
      </c>
      <c r="W90" s="198">
        <f t="shared" ref="W90" si="186">_xlfn.XLOOKUP(W89,$C$107:$MA$107,$C$108:$MA$108)</f>
        <v>1.6799999999999999E-2</v>
      </c>
      <c r="X90" s="198">
        <f t="shared" ref="X90" si="187">_xlfn.XLOOKUP(X89,$C$107:$MA$107,$C$108:$MA$108)</f>
        <v>1.6799999999999999E-2</v>
      </c>
      <c r="Y90" s="198">
        <f t="shared" ref="Y90" si="188">_xlfn.XLOOKUP(Y89,$C$107:$MA$107,$C$108:$MA$108)</f>
        <v>1.6799999999999999E-2</v>
      </c>
      <c r="Z90" s="198">
        <f t="shared" ref="Z90" si="189">_xlfn.XLOOKUP(Z89,$C$107:$MA$107,$C$108:$MA$108)</f>
        <v>1.6799999999999999E-2</v>
      </c>
      <c r="AA90" s="198">
        <f t="shared" ref="AA90" si="190">_xlfn.XLOOKUP(AA89,$C$107:$MA$107,$C$108:$MA$108)</f>
        <v>1.6799999999999999E-2</v>
      </c>
      <c r="AB90" s="198">
        <f t="shared" ref="AB90" si="191">_xlfn.XLOOKUP(AB89,$C$107:$MA$107,$C$108:$MA$108)</f>
        <v>1.7399999999999999E-2</v>
      </c>
      <c r="AC90" s="198">
        <f t="shared" ref="AC90" si="192">_xlfn.XLOOKUP(AC89,$C$107:$MA$107,$C$108:$MA$108)</f>
        <v>1.7399999999999999E-2</v>
      </c>
      <c r="AD90" s="198">
        <f t="shared" ref="AD90" si="193">_xlfn.XLOOKUP(AD89,$C$107:$MA$107,$C$108:$MA$108)</f>
        <v>1.7399999999999999E-2</v>
      </c>
      <c r="AE90" s="198">
        <f t="shared" ref="AE90" si="194">_xlfn.XLOOKUP(AE89,$C$107:$MA$107,$C$108:$MA$108)</f>
        <v>1.7399999999999999E-2</v>
      </c>
      <c r="AF90" s="198">
        <f t="shared" ref="AF90" si="195">_xlfn.XLOOKUP(AF89,$C$107:$MA$107,$C$108:$MA$108)</f>
        <v>1.7399999999999999E-2</v>
      </c>
      <c r="AG90" s="198">
        <f t="shared" ref="AG90" si="196">_xlfn.XLOOKUP(AG89,$C$107:$MA$107,$C$108:$MA$108)</f>
        <v>1.7399999999999999E-2</v>
      </c>
      <c r="AH90" s="198">
        <f t="shared" ref="AH90" si="197">_xlfn.XLOOKUP(AH89,$C$107:$MA$107,$C$108:$MA$108)</f>
        <v>1.7399999999999999E-2</v>
      </c>
      <c r="AI90" s="198">
        <f t="shared" ref="AI90" si="198">_xlfn.XLOOKUP(AI89,$C$107:$MA$107,$C$108:$MA$108)</f>
        <v>1.7399999999999999E-2</v>
      </c>
      <c r="AJ90" s="198">
        <f t="shared" ref="AJ90" si="199">_xlfn.XLOOKUP(AJ89,$C$107:$MA$107,$C$108:$MA$108)</f>
        <v>1.7399999999999999E-2</v>
      </c>
      <c r="AK90" s="198">
        <f t="shared" ref="AK90" si="200">_xlfn.XLOOKUP(AK89,$C$107:$MA$107,$C$108:$MA$108)</f>
        <v>1.7399999999999999E-2</v>
      </c>
      <c r="AL90" s="198">
        <f t="shared" ref="AL90" si="201">_xlfn.XLOOKUP(AL89,$C$107:$MA$107,$C$108:$MA$108)</f>
        <v>1.7399999999999999E-2</v>
      </c>
      <c r="AM90" s="198">
        <f t="shared" ref="AM90" si="202">_xlfn.XLOOKUP(AM89,$C$107:$MA$107,$C$108:$MA$108)</f>
        <v>1.7399999999999999E-2</v>
      </c>
      <c r="AN90" s="198">
        <f t="shared" ref="AN90" si="203">_xlfn.XLOOKUP(AN89,$C$107:$MA$107,$C$108:$MA$108)</f>
        <v>1.8000000000000002E-2</v>
      </c>
      <c r="AO90" s="198">
        <f t="shared" ref="AO90" si="204">_xlfn.XLOOKUP(AO89,$C$107:$MA$107,$C$108:$MA$108)</f>
        <v>1.8000000000000002E-2</v>
      </c>
      <c r="AP90" s="198">
        <f t="shared" ref="AP90" si="205">_xlfn.XLOOKUP(AP89,$C$107:$MA$107,$C$108:$MA$108)</f>
        <v>1.8000000000000002E-2</v>
      </c>
      <c r="AQ90" s="198">
        <f t="shared" ref="AQ90" si="206">_xlfn.XLOOKUP(AQ89,$C$107:$MA$107,$C$108:$MA$108)</f>
        <v>1.8000000000000002E-2</v>
      </c>
      <c r="AR90" s="198">
        <f t="shared" ref="AR90:AT90" si="207">_xlfn.XLOOKUP(AR89,$C$107:$MA$107,$C$108:$MA$108)</f>
        <v>1.8000000000000002E-2</v>
      </c>
      <c r="AS90" s="198">
        <f t="shared" ref="AS90" si="208">_xlfn.XLOOKUP(AS89,$C$107:$MA$107,$C$108:$MA$108)</f>
        <v>1.8000000000000002E-2</v>
      </c>
      <c r="AT90" s="198">
        <f t="shared" si="207"/>
        <v>1.8000000000000002E-2</v>
      </c>
    </row>
    <row r="91" spans="3:46">
      <c r="C91" s="1" t="s">
        <v>327</v>
      </c>
      <c r="F91" s="207">
        <f>$T49^(-1.074)</f>
        <v>1.231021270582589E-2</v>
      </c>
      <c r="G91" s="207">
        <f t="shared" ref="G91:AS91" si="209">$T49^(-1.074)</f>
        <v>1.231021270582589E-2</v>
      </c>
      <c r="H91" s="207">
        <f t="shared" si="209"/>
        <v>1.231021270582589E-2</v>
      </c>
      <c r="I91" s="207">
        <f t="shared" si="209"/>
        <v>1.231021270582589E-2</v>
      </c>
      <c r="J91" s="207">
        <f t="shared" si="209"/>
        <v>1.231021270582589E-2</v>
      </c>
      <c r="K91" s="207">
        <f t="shared" si="209"/>
        <v>1.231021270582589E-2</v>
      </c>
      <c r="L91" s="207">
        <f t="shared" si="209"/>
        <v>1.231021270582589E-2</v>
      </c>
      <c r="M91" s="207">
        <f t="shared" si="209"/>
        <v>1.231021270582589E-2</v>
      </c>
      <c r="N91" s="207">
        <f t="shared" si="209"/>
        <v>1.231021270582589E-2</v>
      </c>
      <c r="O91" s="207">
        <f t="shared" si="209"/>
        <v>1.231021270582589E-2</v>
      </c>
      <c r="P91" s="207">
        <f t="shared" si="209"/>
        <v>1.231021270582589E-2</v>
      </c>
      <c r="Q91" s="207">
        <f t="shared" si="209"/>
        <v>1.231021270582589E-2</v>
      </c>
      <c r="R91" s="207">
        <f t="shared" si="209"/>
        <v>1.231021270582589E-2</v>
      </c>
      <c r="S91" s="207">
        <f t="shared" si="209"/>
        <v>1.231021270582589E-2</v>
      </c>
      <c r="T91" s="207">
        <f t="shared" si="209"/>
        <v>1.231021270582589E-2</v>
      </c>
      <c r="U91" s="207">
        <f t="shared" si="209"/>
        <v>1.231021270582589E-2</v>
      </c>
      <c r="V91" s="207">
        <f t="shared" si="209"/>
        <v>1.231021270582589E-2</v>
      </c>
      <c r="W91" s="207">
        <f t="shared" si="209"/>
        <v>1.231021270582589E-2</v>
      </c>
      <c r="X91" s="207">
        <f t="shared" si="209"/>
        <v>1.231021270582589E-2</v>
      </c>
      <c r="Y91" s="207">
        <f t="shared" si="209"/>
        <v>1.231021270582589E-2</v>
      </c>
      <c r="Z91" s="207">
        <f t="shared" si="209"/>
        <v>1.231021270582589E-2</v>
      </c>
      <c r="AA91" s="207">
        <f t="shared" si="209"/>
        <v>1.231021270582589E-2</v>
      </c>
      <c r="AB91" s="207">
        <f t="shared" si="209"/>
        <v>1.231021270582589E-2</v>
      </c>
      <c r="AC91" s="207">
        <f t="shared" si="209"/>
        <v>1.231021270582589E-2</v>
      </c>
      <c r="AD91" s="207">
        <f t="shared" si="209"/>
        <v>1.231021270582589E-2</v>
      </c>
      <c r="AE91" s="207">
        <f t="shared" si="209"/>
        <v>1.231021270582589E-2</v>
      </c>
      <c r="AF91" s="207">
        <f t="shared" si="209"/>
        <v>1.231021270582589E-2</v>
      </c>
      <c r="AG91" s="207">
        <f t="shared" si="209"/>
        <v>1.231021270582589E-2</v>
      </c>
      <c r="AH91" s="207">
        <f t="shared" si="209"/>
        <v>1.231021270582589E-2</v>
      </c>
      <c r="AI91" s="207">
        <f t="shared" si="209"/>
        <v>1.231021270582589E-2</v>
      </c>
      <c r="AJ91" s="207">
        <f t="shared" si="209"/>
        <v>1.231021270582589E-2</v>
      </c>
      <c r="AK91" s="207">
        <f t="shared" si="209"/>
        <v>1.231021270582589E-2</v>
      </c>
      <c r="AL91" s="207">
        <f t="shared" si="209"/>
        <v>1.231021270582589E-2</v>
      </c>
      <c r="AM91" s="207">
        <f t="shared" si="209"/>
        <v>1.231021270582589E-2</v>
      </c>
      <c r="AN91" s="207">
        <f t="shared" si="209"/>
        <v>1.231021270582589E-2</v>
      </c>
      <c r="AO91" s="207">
        <f t="shared" si="209"/>
        <v>1.231021270582589E-2</v>
      </c>
      <c r="AP91" s="207">
        <f t="shared" si="209"/>
        <v>1.231021270582589E-2</v>
      </c>
      <c r="AQ91" s="207">
        <f t="shared" si="209"/>
        <v>1.231021270582589E-2</v>
      </c>
      <c r="AR91" s="207">
        <f t="shared" si="209"/>
        <v>1.231021270582589E-2</v>
      </c>
      <c r="AS91" s="207">
        <f t="shared" si="209"/>
        <v>1.231021270582589E-2</v>
      </c>
      <c r="AT91" s="207">
        <f t="shared" ref="AT91" si="210">$T49^(-1.074)</f>
        <v>1.231021270582589E-2</v>
      </c>
    </row>
    <row r="92" spans="3:46">
      <c r="C92" s="1" t="s">
        <v>328</v>
      </c>
      <c r="F92" s="207">
        <f>(F80+1)^(-0.1025)</f>
        <v>0.78209093075273661</v>
      </c>
      <c r="G92" s="207">
        <f t="shared" ref="G92:AS92" si="211">(G80+1)^(-0.1025)</f>
        <v>0.78209093075273661</v>
      </c>
      <c r="H92" s="207">
        <f t="shared" si="211"/>
        <v>0.78209093075273661</v>
      </c>
      <c r="I92" s="207">
        <f t="shared" si="211"/>
        <v>0.78209093075273661</v>
      </c>
      <c r="J92" s="207">
        <f t="shared" si="211"/>
        <v>0.78209093075273661</v>
      </c>
      <c r="K92" s="207">
        <f t="shared" si="211"/>
        <v>0.78209093075273661</v>
      </c>
      <c r="L92" s="207">
        <f t="shared" si="211"/>
        <v>0.78209093075273661</v>
      </c>
      <c r="M92" s="207">
        <f t="shared" si="211"/>
        <v>0.78209093075273661</v>
      </c>
      <c r="N92" s="207">
        <f t="shared" si="211"/>
        <v>0.78209093075273661</v>
      </c>
      <c r="O92" s="207">
        <f t="shared" si="211"/>
        <v>0.78209093075273661</v>
      </c>
      <c r="P92" s="207">
        <f t="shared" si="211"/>
        <v>0.78209093075273661</v>
      </c>
      <c r="Q92" s="207">
        <f t="shared" si="211"/>
        <v>0.78209093075273661</v>
      </c>
      <c r="R92" s="207">
        <f t="shared" si="211"/>
        <v>0.78209093075273661</v>
      </c>
      <c r="S92" s="207">
        <f t="shared" si="211"/>
        <v>0.78209093075273661</v>
      </c>
      <c r="T92" s="207">
        <f t="shared" si="211"/>
        <v>0.78209093075273661</v>
      </c>
      <c r="U92" s="207">
        <f t="shared" si="211"/>
        <v>0.78209093075273661</v>
      </c>
      <c r="V92" s="207">
        <f t="shared" si="211"/>
        <v>0.78209093075273661</v>
      </c>
      <c r="W92" s="207">
        <f t="shared" si="211"/>
        <v>0.78209093075273661</v>
      </c>
      <c r="X92" s="207">
        <f t="shared" si="211"/>
        <v>0.78209093075273661</v>
      </c>
      <c r="Y92" s="207">
        <f t="shared" si="211"/>
        <v>0.78209093075273661</v>
      </c>
      <c r="Z92" s="207">
        <f t="shared" si="211"/>
        <v>0.78209093075273661</v>
      </c>
      <c r="AA92" s="207">
        <f t="shared" si="211"/>
        <v>0.78209093075273661</v>
      </c>
      <c r="AB92" s="207">
        <f t="shared" si="211"/>
        <v>0.78209093075273661</v>
      </c>
      <c r="AC92" s="207">
        <f t="shared" si="211"/>
        <v>0.78209093075273661</v>
      </c>
      <c r="AD92" s="207">
        <f t="shared" si="211"/>
        <v>0.78209093075273661</v>
      </c>
      <c r="AE92" s="207">
        <f t="shared" si="211"/>
        <v>0.78209093075273661</v>
      </c>
      <c r="AF92" s="207">
        <f t="shared" si="211"/>
        <v>0.78209093075273661</v>
      </c>
      <c r="AG92" s="207">
        <f t="shared" si="211"/>
        <v>0.78209093075273661</v>
      </c>
      <c r="AH92" s="207">
        <f t="shared" si="211"/>
        <v>0.78209093075273661</v>
      </c>
      <c r="AI92" s="207">
        <f t="shared" si="211"/>
        <v>0.78209093075273661</v>
      </c>
      <c r="AJ92" s="207">
        <f t="shared" si="211"/>
        <v>0.78209093075273661</v>
      </c>
      <c r="AK92" s="207">
        <f t="shared" si="211"/>
        <v>0.78209093075273661</v>
      </c>
      <c r="AL92" s="207">
        <f t="shared" si="211"/>
        <v>0.78209093075273661</v>
      </c>
      <c r="AM92" s="207">
        <f t="shared" si="211"/>
        <v>0.78209093075273661</v>
      </c>
      <c r="AN92" s="207">
        <f t="shared" si="211"/>
        <v>0.78209093075273661</v>
      </c>
      <c r="AO92" s="207">
        <f t="shared" si="211"/>
        <v>0.78209093075273661</v>
      </c>
      <c r="AP92" s="207">
        <f t="shared" si="211"/>
        <v>0.78209093075273661</v>
      </c>
      <c r="AQ92" s="207">
        <f t="shared" si="211"/>
        <v>0.78209093075273661</v>
      </c>
      <c r="AR92" s="207">
        <f t="shared" si="211"/>
        <v>0.78209093075273661</v>
      </c>
      <c r="AS92" s="207">
        <f t="shared" si="211"/>
        <v>0.78209093075273661</v>
      </c>
      <c r="AT92" s="207">
        <f t="shared" ref="AT92" si="212">(AT80+1)^(-0.1025)</f>
        <v>0.78209093075273661</v>
      </c>
    </row>
    <row r="93" spans="3:46">
      <c r="C93" s="1" t="s">
        <v>329</v>
      </c>
      <c r="F93" s="207">
        <f>($AC49+1)^(0.1025)</f>
        <v>1</v>
      </c>
      <c r="G93" s="207">
        <f t="shared" ref="G93:AS93" si="213">($AC49+1)^(0.1025)</f>
        <v>1</v>
      </c>
      <c r="H93" s="207">
        <f t="shared" si="213"/>
        <v>1</v>
      </c>
      <c r="I93" s="207">
        <f t="shared" si="213"/>
        <v>1</v>
      </c>
      <c r="J93" s="207">
        <f t="shared" si="213"/>
        <v>1</v>
      </c>
      <c r="K93" s="207">
        <f t="shared" si="213"/>
        <v>1</v>
      </c>
      <c r="L93" s="207">
        <f t="shared" si="213"/>
        <v>1</v>
      </c>
      <c r="M93" s="207">
        <f t="shared" si="213"/>
        <v>1</v>
      </c>
      <c r="N93" s="207">
        <f t="shared" si="213"/>
        <v>1</v>
      </c>
      <c r="O93" s="207">
        <f t="shared" si="213"/>
        <v>1</v>
      </c>
      <c r="P93" s="207">
        <f t="shared" si="213"/>
        <v>1</v>
      </c>
      <c r="Q93" s="207">
        <f t="shared" si="213"/>
        <v>1</v>
      </c>
      <c r="R93" s="207">
        <f t="shared" si="213"/>
        <v>1</v>
      </c>
      <c r="S93" s="207">
        <f t="shared" si="213"/>
        <v>1</v>
      </c>
      <c r="T93" s="207">
        <f t="shared" si="213"/>
        <v>1</v>
      </c>
      <c r="U93" s="207">
        <f t="shared" si="213"/>
        <v>1</v>
      </c>
      <c r="V93" s="207">
        <f t="shared" si="213"/>
        <v>1</v>
      </c>
      <c r="W93" s="207">
        <f t="shared" si="213"/>
        <v>1</v>
      </c>
      <c r="X93" s="207">
        <f t="shared" si="213"/>
        <v>1</v>
      </c>
      <c r="Y93" s="207">
        <f t="shared" si="213"/>
        <v>1</v>
      </c>
      <c r="Z93" s="207">
        <f t="shared" si="213"/>
        <v>1</v>
      </c>
      <c r="AA93" s="207">
        <f t="shared" si="213"/>
        <v>1</v>
      </c>
      <c r="AB93" s="207">
        <f t="shared" si="213"/>
        <v>1</v>
      </c>
      <c r="AC93" s="207">
        <f t="shared" si="213"/>
        <v>1</v>
      </c>
      <c r="AD93" s="207">
        <f t="shared" si="213"/>
        <v>1</v>
      </c>
      <c r="AE93" s="207">
        <f t="shared" si="213"/>
        <v>1</v>
      </c>
      <c r="AF93" s="207">
        <f t="shared" si="213"/>
        <v>1</v>
      </c>
      <c r="AG93" s="207">
        <f t="shared" si="213"/>
        <v>1</v>
      </c>
      <c r="AH93" s="207">
        <f t="shared" si="213"/>
        <v>1</v>
      </c>
      <c r="AI93" s="207">
        <f t="shared" si="213"/>
        <v>1</v>
      </c>
      <c r="AJ93" s="207">
        <f t="shared" si="213"/>
        <v>1</v>
      </c>
      <c r="AK93" s="207">
        <f t="shared" si="213"/>
        <v>1</v>
      </c>
      <c r="AL93" s="207">
        <f t="shared" si="213"/>
        <v>1</v>
      </c>
      <c r="AM93" s="207">
        <f t="shared" si="213"/>
        <v>1</v>
      </c>
      <c r="AN93" s="207">
        <f t="shared" si="213"/>
        <v>1</v>
      </c>
      <c r="AO93" s="207">
        <f t="shared" si="213"/>
        <v>1</v>
      </c>
      <c r="AP93" s="207">
        <f t="shared" si="213"/>
        <v>1</v>
      </c>
      <c r="AQ93" s="207">
        <f t="shared" si="213"/>
        <v>1</v>
      </c>
      <c r="AR93" s="207">
        <f t="shared" si="213"/>
        <v>1</v>
      </c>
      <c r="AS93" s="207">
        <f t="shared" si="213"/>
        <v>1</v>
      </c>
      <c r="AT93" s="207">
        <f t="shared" ref="AT93" si="214">($AC49+1)^(0.1025)</f>
        <v>1</v>
      </c>
    </row>
    <row r="94" spans="3:46">
      <c r="C94" s="1" t="s">
        <v>330</v>
      </c>
      <c r="F94" s="207">
        <f>IF($G49="Urban",EXP(0.188),IF($G49="Rural",1))</f>
        <v>1</v>
      </c>
      <c r="G94" s="207">
        <f t="shared" ref="G94:AS94" si="215">IF($G49="Urban",EXP(0.188),IF($G49="Rural",1))</f>
        <v>1</v>
      </c>
      <c r="H94" s="207">
        <f t="shared" si="215"/>
        <v>1</v>
      </c>
      <c r="I94" s="207">
        <f t="shared" si="215"/>
        <v>1</v>
      </c>
      <c r="J94" s="207">
        <f t="shared" si="215"/>
        <v>1</v>
      </c>
      <c r="K94" s="207">
        <f t="shared" si="215"/>
        <v>1</v>
      </c>
      <c r="L94" s="207">
        <f t="shared" si="215"/>
        <v>1</v>
      </c>
      <c r="M94" s="207">
        <f t="shared" si="215"/>
        <v>1</v>
      </c>
      <c r="N94" s="207">
        <f t="shared" si="215"/>
        <v>1</v>
      </c>
      <c r="O94" s="207">
        <f t="shared" si="215"/>
        <v>1</v>
      </c>
      <c r="P94" s="207">
        <f t="shared" si="215"/>
        <v>1</v>
      </c>
      <c r="Q94" s="207">
        <f t="shared" si="215"/>
        <v>1</v>
      </c>
      <c r="R94" s="207">
        <f t="shared" si="215"/>
        <v>1</v>
      </c>
      <c r="S94" s="207">
        <f t="shared" si="215"/>
        <v>1</v>
      </c>
      <c r="T94" s="207">
        <f t="shared" si="215"/>
        <v>1</v>
      </c>
      <c r="U94" s="207">
        <f t="shared" si="215"/>
        <v>1</v>
      </c>
      <c r="V94" s="207">
        <f t="shared" si="215"/>
        <v>1</v>
      </c>
      <c r="W94" s="207">
        <f t="shared" si="215"/>
        <v>1</v>
      </c>
      <c r="X94" s="207">
        <f t="shared" si="215"/>
        <v>1</v>
      </c>
      <c r="Y94" s="207">
        <f t="shared" si="215"/>
        <v>1</v>
      </c>
      <c r="Z94" s="207">
        <f t="shared" si="215"/>
        <v>1</v>
      </c>
      <c r="AA94" s="207">
        <f t="shared" si="215"/>
        <v>1</v>
      </c>
      <c r="AB94" s="207">
        <f t="shared" si="215"/>
        <v>1</v>
      </c>
      <c r="AC94" s="207">
        <f t="shared" si="215"/>
        <v>1</v>
      </c>
      <c r="AD94" s="207">
        <f t="shared" si="215"/>
        <v>1</v>
      </c>
      <c r="AE94" s="207">
        <f t="shared" si="215"/>
        <v>1</v>
      </c>
      <c r="AF94" s="207">
        <f t="shared" si="215"/>
        <v>1</v>
      </c>
      <c r="AG94" s="207">
        <f t="shared" si="215"/>
        <v>1</v>
      </c>
      <c r="AH94" s="207">
        <f t="shared" si="215"/>
        <v>1</v>
      </c>
      <c r="AI94" s="207">
        <f t="shared" si="215"/>
        <v>1</v>
      </c>
      <c r="AJ94" s="207">
        <f t="shared" si="215"/>
        <v>1</v>
      </c>
      <c r="AK94" s="207">
        <f t="shared" si="215"/>
        <v>1</v>
      </c>
      <c r="AL94" s="207">
        <f t="shared" si="215"/>
        <v>1</v>
      </c>
      <c r="AM94" s="207">
        <f t="shared" si="215"/>
        <v>1</v>
      </c>
      <c r="AN94" s="207">
        <f t="shared" si="215"/>
        <v>1</v>
      </c>
      <c r="AO94" s="207">
        <f t="shared" si="215"/>
        <v>1</v>
      </c>
      <c r="AP94" s="207">
        <f t="shared" si="215"/>
        <v>1</v>
      </c>
      <c r="AQ94" s="207">
        <f t="shared" si="215"/>
        <v>1</v>
      </c>
      <c r="AR94" s="207">
        <f t="shared" si="215"/>
        <v>1</v>
      </c>
      <c r="AS94" s="207">
        <f t="shared" si="215"/>
        <v>1</v>
      </c>
      <c r="AT94" s="207">
        <f t="shared" ref="AT94" si="216">IF($G49="Urban",EXP(0.188),IF($G49="Rural",1))</f>
        <v>1</v>
      </c>
    </row>
    <row r="95" spans="3:46">
      <c r="C95" s="1" t="s">
        <v>331</v>
      </c>
      <c r="F95" s="208">
        <f>1/(1+695*F91*F92*F93*F94)</f>
        <v>0.13001778498234851</v>
      </c>
      <c r="G95" s="208">
        <f t="shared" ref="G95" si="217">1/(1+695*G91*G92*G93*G94)</f>
        <v>0.13001778498234851</v>
      </c>
      <c r="H95" s="208">
        <f t="shared" ref="H95" si="218">1/(1+695*H91*H92*H93*H94)</f>
        <v>0.13001778498234851</v>
      </c>
      <c r="I95" s="208">
        <f t="shared" ref="I95" si="219">1/(1+695*I91*I92*I93*I94)</f>
        <v>0.13001778498234851</v>
      </c>
      <c r="J95" s="208">
        <f t="shared" ref="J95" si="220">1/(1+695*J91*J92*J93*J94)</f>
        <v>0.13001778498234851</v>
      </c>
      <c r="K95" s="208">
        <f t="shared" ref="K95" si="221">1/(1+695*K91*K92*K93*K94)</f>
        <v>0.13001778498234851</v>
      </c>
      <c r="L95" s="208">
        <f t="shared" ref="L95" si="222">1/(1+695*L91*L92*L93*L94)</f>
        <v>0.13001778498234851</v>
      </c>
      <c r="M95" s="208">
        <f t="shared" ref="M95" si="223">1/(1+695*M91*M92*M93*M94)</f>
        <v>0.13001778498234851</v>
      </c>
      <c r="N95" s="208">
        <f t="shared" ref="N95" si="224">1/(1+695*N91*N92*N93*N94)</f>
        <v>0.13001778498234851</v>
      </c>
      <c r="O95" s="208">
        <f t="shared" ref="O95" si="225">1/(1+695*O91*O92*O93*O94)</f>
        <v>0.13001778498234851</v>
      </c>
      <c r="P95" s="208">
        <f t="shared" ref="P95" si="226">1/(1+695*P91*P92*P93*P94)</f>
        <v>0.13001778498234851</v>
      </c>
      <c r="Q95" s="208">
        <f t="shared" ref="Q95" si="227">1/(1+695*Q91*Q92*Q93*Q94)</f>
        <v>0.13001778498234851</v>
      </c>
      <c r="R95" s="208">
        <f t="shared" ref="R95" si="228">1/(1+695*R91*R92*R93*R94)</f>
        <v>0.13001778498234851</v>
      </c>
      <c r="S95" s="208">
        <f t="shared" ref="S95" si="229">1/(1+695*S91*S92*S93*S94)</f>
        <v>0.13001778498234851</v>
      </c>
      <c r="T95" s="208">
        <f t="shared" ref="T95" si="230">1/(1+695*T91*T92*T93*T94)</f>
        <v>0.13001778498234851</v>
      </c>
      <c r="U95" s="208">
        <f t="shared" ref="U95" si="231">1/(1+695*U91*U92*U93*U94)</f>
        <v>0.13001778498234851</v>
      </c>
      <c r="V95" s="208">
        <f t="shared" ref="V95" si="232">1/(1+695*V91*V92*V93*V94)</f>
        <v>0.13001778498234851</v>
      </c>
      <c r="W95" s="208">
        <f t="shared" ref="W95" si="233">1/(1+695*W91*W92*W93*W94)</f>
        <v>0.13001778498234851</v>
      </c>
      <c r="X95" s="208">
        <f t="shared" ref="X95" si="234">1/(1+695*X91*X92*X93*X94)</f>
        <v>0.13001778498234851</v>
      </c>
      <c r="Y95" s="208">
        <f t="shared" ref="Y95" si="235">1/(1+695*Y91*Y92*Y93*Y94)</f>
        <v>0.13001778498234851</v>
      </c>
      <c r="Z95" s="208">
        <f t="shared" ref="Z95" si="236">1/(1+695*Z91*Z92*Z93*Z94)</f>
        <v>0.13001778498234851</v>
      </c>
      <c r="AA95" s="208">
        <f t="shared" ref="AA95" si="237">1/(1+695*AA91*AA92*AA93*AA94)</f>
        <v>0.13001778498234851</v>
      </c>
      <c r="AB95" s="208">
        <f t="shared" ref="AB95" si="238">1/(1+695*AB91*AB92*AB93*AB94)</f>
        <v>0.13001778498234851</v>
      </c>
      <c r="AC95" s="208">
        <f t="shared" ref="AC95" si="239">1/(1+695*AC91*AC92*AC93*AC94)</f>
        <v>0.13001778498234851</v>
      </c>
      <c r="AD95" s="208">
        <f t="shared" ref="AD95" si="240">1/(1+695*AD91*AD92*AD93*AD94)</f>
        <v>0.13001778498234851</v>
      </c>
      <c r="AE95" s="208">
        <f t="shared" ref="AE95" si="241">1/(1+695*AE91*AE92*AE93*AE94)</f>
        <v>0.13001778498234851</v>
      </c>
      <c r="AF95" s="208">
        <f t="shared" ref="AF95" si="242">1/(1+695*AF91*AF92*AF93*AF94)</f>
        <v>0.13001778498234851</v>
      </c>
      <c r="AG95" s="208">
        <f t="shared" ref="AG95" si="243">1/(1+695*AG91*AG92*AG93*AG94)</f>
        <v>0.13001778498234851</v>
      </c>
      <c r="AH95" s="208">
        <f t="shared" ref="AH95" si="244">1/(1+695*AH91*AH92*AH93*AH94)</f>
        <v>0.13001778498234851</v>
      </c>
      <c r="AI95" s="208">
        <f t="shared" ref="AI95" si="245">1/(1+695*AI91*AI92*AI93*AI94)</f>
        <v>0.13001778498234851</v>
      </c>
      <c r="AJ95" s="208">
        <f t="shared" ref="AJ95" si="246">1/(1+695*AJ91*AJ92*AJ93*AJ94)</f>
        <v>0.13001778498234851</v>
      </c>
      <c r="AK95" s="208">
        <f t="shared" ref="AK95" si="247">1/(1+695*AK91*AK92*AK93*AK94)</f>
        <v>0.13001778498234851</v>
      </c>
      <c r="AL95" s="208">
        <f t="shared" ref="AL95" si="248">1/(1+695*AL91*AL92*AL93*AL94)</f>
        <v>0.13001778498234851</v>
      </c>
      <c r="AM95" s="208">
        <f t="shared" ref="AM95" si="249">1/(1+695*AM91*AM92*AM93*AM94)</f>
        <v>0.13001778498234851</v>
      </c>
      <c r="AN95" s="208">
        <f t="shared" ref="AN95" si="250">1/(1+695*AN91*AN92*AN93*AN94)</f>
        <v>0.13001778498234851</v>
      </c>
      <c r="AO95" s="208">
        <f t="shared" ref="AO95" si="251">1/(1+695*AO91*AO92*AO93*AO94)</f>
        <v>0.13001778498234851</v>
      </c>
      <c r="AP95" s="208">
        <f t="shared" ref="AP95" si="252">1/(1+695*AP91*AP92*AP93*AP94)</f>
        <v>0.13001778498234851</v>
      </c>
      <c r="AQ95" s="208">
        <f t="shared" ref="AQ95" si="253">1/(1+695*AQ91*AQ92*AQ93*AQ94)</f>
        <v>0.13001778498234851</v>
      </c>
      <c r="AR95" s="208">
        <f t="shared" ref="AR95:AT95" si="254">1/(1+695*AR91*AR92*AR93*AR94)</f>
        <v>0.13001778498234851</v>
      </c>
      <c r="AS95" s="208">
        <f t="shared" ref="AS95" si="255">1/(1+695*AS91*AS92*AS93*AS94)</f>
        <v>0.13001778498234851</v>
      </c>
      <c r="AT95" s="208">
        <f t="shared" si="254"/>
        <v>0.13001778498234851</v>
      </c>
    </row>
    <row r="96" spans="3:46">
      <c r="C96" s="1" t="s">
        <v>332</v>
      </c>
      <c r="F96" s="207">
        <f>IF($G49="Urban",EXP(0.1844),IF($G49="Rural",1))</f>
        <v>1</v>
      </c>
      <c r="G96" s="207">
        <f t="shared" ref="G96:AS96" si="256">IF($G49="Urban",EXP(0.1844),IF($G49="Rural",1))</f>
        <v>1</v>
      </c>
      <c r="H96" s="207">
        <f t="shared" si="256"/>
        <v>1</v>
      </c>
      <c r="I96" s="207">
        <f t="shared" si="256"/>
        <v>1</v>
      </c>
      <c r="J96" s="207">
        <f t="shared" si="256"/>
        <v>1</v>
      </c>
      <c r="K96" s="207">
        <f t="shared" si="256"/>
        <v>1</v>
      </c>
      <c r="L96" s="207">
        <f t="shared" si="256"/>
        <v>1</v>
      </c>
      <c r="M96" s="207">
        <f t="shared" si="256"/>
        <v>1</v>
      </c>
      <c r="N96" s="207">
        <f t="shared" si="256"/>
        <v>1</v>
      </c>
      <c r="O96" s="207">
        <f t="shared" si="256"/>
        <v>1</v>
      </c>
      <c r="P96" s="207">
        <f t="shared" si="256"/>
        <v>1</v>
      </c>
      <c r="Q96" s="207">
        <f t="shared" si="256"/>
        <v>1</v>
      </c>
      <c r="R96" s="207">
        <f t="shared" si="256"/>
        <v>1</v>
      </c>
      <c r="S96" s="207">
        <f t="shared" si="256"/>
        <v>1</v>
      </c>
      <c r="T96" s="207">
        <f t="shared" si="256"/>
        <v>1</v>
      </c>
      <c r="U96" s="207">
        <f t="shared" si="256"/>
        <v>1</v>
      </c>
      <c r="V96" s="207">
        <f t="shared" si="256"/>
        <v>1</v>
      </c>
      <c r="W96" s="207">
        <f t="shared" si="256"/>
        <v>1</v>
      </c>
      <c r="X96" s="207">
        <f t="shared" si="256"/>
        <v>1</v>
      </c>
      <c r="Y96" s="207">
        <f t="shared" si="256"/>
        <v>1</v>
      </c>
      <c r="Z96" s="207">
        <f t="shared" si="256"/>
        <v>1</v>
      </c>
      <c r="AA96" s="207">
        <f t="shared" si="256"/>
        <v>1</v>
      </c>
      <c r="AB96" s="207">
        <f t="shared" si="256"/>
        <v>1</v>
      </c>
      <c r="AC96" s="207">
        <f t="shared" si="256"/>
        <v>1</v>
      </c>
      <c r="AD96" s="207">
        <f t="shared" si="256"/>
        <v>1</v>
      </c>
      <c r="AE96" s="207">
        <f t="shared" si="256"/>
        <v>1</v>
      </c>
      <c r="AF96" s="207">
        <f t="shared" si="256"/>
        <v>1</v>
      </c>
      <c r="AG96" s="207">
        <f t="shared" si="256"/>
        <v>1</v>
      </c>
      <c r="AH96" s="207">
        <f t="shared" si="256"/>
        <v>1</v>
      </c>
      <c r="AI96" s="207">
        <f t="shared" si="256"/>
        <v>1</v>
      </c>
      <c r="AJ96" s="207">
        <f t="shared" si="256"/>
        <v>1</v>
      </c>
      <c r="AK96" s="207">
        <f t="shared" si="256"/>
        <v>1</v>
      </c>
      <c r="AL96" s="207">
        <f t="shared" si="256"/>
        <v>1</v>
      </c>
      <c r="AM96" s="207">
        <f t="shared" si="256"/>
        <v>1</v>
      </c>
      <c r="AN96" s="207">
        <f t="shared" si="256"/>
        <v>1</v>
      </c>
      <c r="AO96" s="207">
        <f t="shared" si="256"/>
        <v>1</v>
      </c>
      <c r="AP96" s="207">
        <f t="shared" si="256"/>
        <v>1</v>
      </c>
      <c r="AQ96" s="207">
        <f t="shared" si="256"/>
        <v>1</v>
      </c>
      <c r="AR96" s="207">
        <f t="shared" si="256"/>
        <v>1</v>
      </c>
      <c r="AS96" s="207">
        <f t="shared" si="256"/>
        <v>1</v>
      </c>
      <c r="AT96" s="207">
        <f t="shared" ref="AT96" si="257">IF($G49="Urban",EXP(0.1844),IF($G49="Rural",1))</f>
        <v>1</v>
      </c>
    </row>
    <row r="97" spans="1:339">
      <c r="C97" s="1" t="s">
        <v>333</v>
      </c>
      <c r="F97" s="207">
        <f>$T49^(-0.2334)</f>
        <v>0.3845736269611294</v>
      </c>
      <c r="G97" s="207">
        <f t="shared" ref="G97:AS97" si="258">$T49^(-0.2334)</f>
        <v>0.3845736269611294</v>
      </c>
      <c r="H97" s="207">
        <f t="shared" si="258"/>
        <v>0.3845736269611294</v>
      </c>
      <c r="I97" s="207">
        <f t="shared" si="258"/>
        <v>0.3845736269611294</v>
      </c>
      <c r="J97" s="207">
        <f t="shared" si="258"/>
        <v>0.3845736269611294</v>
      </c>
      <c r="K97" s="207">
        <f t="shared" si="258"/>
        <v>0.3845736269611294</v>
      </c>
      <c r="L97" s="207">
        <f t="shared" si="258"/>
        <v>0.3845736269611294</v>
      </c>
      <c r="M97" s="207">
        <f t="shared" si="258"/>
        <v>0.3845736269611294</v>
      </c>
      <c r="N97" s="207">
        <f t="shared" si="258"/>
        <v>0.3845736269611294</v>
      </c>
      <c r="O97" s="207">
        <f t="shared" si="258"/>
        <v>0.3845736269611294</v>
      </c>
      <c r="P97" s="207">
        <f t="shared" si="258"/>
        <v>0.3845736269611294</v>
      </c>
      <c r="Q97" s="207">
        <f t="shared" si="258"/>
        <v>0.3845736269611294</v>
      </c>
      <c r="R97" s="207">
        <f t="shared" si="258"/>
        <v>0.3845736269611294</v>
      </c>
      <c r="S97" s="207">
        <f t="shared" si="258"/>
        <v>0.3845736269611294</v>
      </c>
      <c r="T97" s="207">
        <f t="shared" si="258"/>
        <v>0.3845736269611294</v>
      </c>
      <c r="U97" s="207">
        <f t="shared" si="258"/>
        <v>0.3845736269611294</v>
      </c>
      <c r="V97" s="207">
        <f t="shared" si="258"/>
        <v>0.3845736269611294</v>
      </c>
      <c r="W97" s="207">
        <f t="shared" si="258"/>
        <v>0.3845736269611294</v>
      </c>
      <c r="X97" s="207">
        <f t="shared" si="258"/>
        <v>0.3845736269611294</v>
      </c>
      <c r="Y97" s="207">
        <f t="shared" si="258"/>
        <v>0.3845736269611294</v>
      </c>
      <c r="Z97" s="207">
        <f t="shared" si="258"/>
        <v>0.3845736269611294</v>
      </c>
      <c r="AA97" s="207">
        <f t="shared" si="258"/>
        <v>0.3845736269611294</v>
      </c>
      <c r="AB97" s="207">
        <f t="shared" si="258"/>
        <v>0.3845736269611294</v>
      </c>
      <c r="AC97" s="207">
        <f t="shared" si="258"/>
        <v>0.3845736269611294</v>
      </c>
      <c r="AD97" s="207">
        <f t="shared" si="258"/>
        <v>0.3845736269611294</v>
      </c>
      <c r="AE97" s="207">
        <f t="shared" si="258"/>
        <v>0.3845736269611294</v>
      </c>
      <c r="AF97" s="207">
        <f t="shared" si="258"/>
        <v>0.3845736269611294</v>
      </c>
      <c r="AG97" s="207">
        <f t="shared" si="258"/>
        <v>0.3845736269611294</v>
      </c>
      <c r="AH97" s="207">
        <f t="shared" si="258"/>
        <v>0.3845736269611294</v>
      </c>
      <c r="AI97" s="207">
        <f t="shared" si="258"/>
        <v>0.3845736269611294</v>
      </c>
      <c r="AJ97" s="207">
        <f t="shared" si="258"/>
        <v>0.3845736269611294</v>
      </c>
      <c r="AK97" s="207">
        <f t="shared" si="258"/>
        <v>0.3845736269611294</v>
      </c>
      <c r="AL97" s="207">
        <f t="shared" si="258"/>
        <v>0.3845736269611294</v>
      </c>
      <c r="AM97" s="207">
        <f t="shared" si="258"/>
        <v>0.3845736269611294</v>
      </c>
      <c r="AN97" s="207">
        <f t="shared" si="258"/>
        <v>0.3845736269611294</v>
      </c>
      <c r="AO97" s="207">
        <f t="shared" si="258"/>
        <v>0.3845736269611294</v>
      </c>
      <c r="AP97" s="207">
        <f t="shared" si="258"/>
        <v>0.3845736269611294</v>
      </c>
      <c r="AQ97" s="207">
        <f t="shared" si="258"/>
        <v>0.3845736269611294</v>
      </c>
      <c r="AR97" s="207">
        <f t="shared" si="258"/>
        <v>0.3845736269611294</v>
      </c>
      <c r="AS97" s="207">
        <f t="shared" si="258"/>
        <v>0.3845736269611294</v>
      </c>
      <c r="AT97" s="207">
        <f t="shared" ref="AT97" si="259">$T49^(-0.2334)</f>
        <v>0.3845736269611294</v>
      </c>
    </row>
    <row r="98" spans="1:339">
      <c r="C98" s="1" t="s">
        <v>334</v>
      </c>
      <c r="F98" s="207">
        <f>EXP($S49*0.1176)</f>
        <v>1.2651617757865004</v>
      </c>
      <c r="G98" s="207">
        <f t="shared" ref="G98:AS98" si="260">EXP($S49*0.1176)</f>
        <v>1.2651617757865004</v>
      </c>
      <c r="H98" s="207">
        <f t="shared" si="260"/>
        <v>1.2651617757865004</v>
      </c>
      <c r="I98" s="207">
        <f t="shared" si="260"/>
        <v>1.2651617757865004</v>
      </c>
      <c r="J98" s="207">
        <f t="shared" si="260"/>
        <v>1.2651617757865004</v>
      </c>
      <c r="K98" s="207">
        <f t="shared" si="260"/>
        <v>1.2651617757865004</v>
      </c>
      <c r="L98" s="207">
        <f t="shared" si="260"/>
        <v>1.2651617757865004</v>
      </c>
      <c r="M98" s="207">
        <f t="shared" si="260"/>
        <v>1.2651617757865004</v>
      </c>
      <c r="N98" s="207">
        <f t="shared" si="260"/>
        <v>1.2651617757865004</v>
      </c>
      <c r="O98" s="207">
        <f t="shared" si="260"/>
        <v>1.2651617757865004</v>
      </c>
      <c r="P98" s="207">
        <f t="shared" si="260"/>
        <v>1.2651617757865004</v>
      </c>
      <c r="Q98" s="207">
        <f t="shared" si="260"/>
        <v>1.2651617757865004</v>
      </c>
      <c r="R98" s="207">
        <f t="shared" si="260"/>
        <v>1.2651617757865004</v>
      </c>
      <c r="S98" s="207">
        <f t="shared" si="260"/>
        <v>1.2651617757865004</v>
      </c>
      <c r="T98" s="207">
        <f t="shared" si="260"/>
        <v>1.2651617757865004</v>
      </c>
      <c r="U98" s="207">
        <f t="shared" si="260"/>
        <v>1.2651617757865004</v>
      </c>
      <c r="V98" s="207">
        <f t="shared" si="260"/>
        <v>1.2651617757865004</v>
      </c>
      <c r="W98" s="207">
        <f t="shared" si="260"/>
        <v>1.2651617757865004</v>
      </c>
      <c r="X98" s="207">
        <f t="shared" si="260"/>
        <v>1.2651617757865004</v>
      </c>
      <c r="Y98" s="207">
        <f t="shared" si="260"/>
        <v>1.2651617757865004</v>
      </c>
      <c r="Z98" s="207">
        <f t="shared" si="260"/>
        <v>1.2651617757865004</v>
      </c>
      <c r="AA98" s="207">
        <f t="shared" si="260"/>
        <v>1.2651617757865004</v>
      </c>
      <c r="AB98" s="207">
        <f t="shared" si="260"/>
        <v>1.2651617757865004</v>
      </c>
      <c r="AC98" s="207">
        <f t="shared" si="260"/>
        <v>1.2651617757865004</v>
      </c>
      <c r="AD98" s="207">
        <f t="shared" si="260"/>
        <v>1.2651617757865004</v>
      </c>
      <c r="AE98" s="207">
        <f t="shared" si="260"/>
        <v>1.2651617757865004</v>
      </c>
      <c r="AF98" s="207">
        <f t="shared" si="260"/>
        <v>1.2651617757865004</v>
      </c>
      <c r="AG98" s="207">
        <f t="shared" si="260"/>
        <v>1.2651617757865004</v>
      </c>
      <c r="AH98" s="207">
        <f t="shared" si="260"/>
        <v>1.2651617757865004</v>
      </c>
      <c r="AI98" s="207">
        <f t="shared" si="260"/>
        <v>1.2651617757865004</v>
      </c>
      <c r="AJ98" s="207">
        <f t="shared" si="260"/>
        <v>1.2651617757865004</v>
      </c>
      <c r="AK98" s="207">
        <f t="shared" si="260"/>
        <v>1.2651617757865004</v>
      </c>
      <c r="AL98" s="207">
        <f t="shared" si="260"/>
        <v>1.2651617757865004</v>
      </c>
      <c r="AM98" s="207">
        <f t="shared" si="260"/>
        <v>1.2651617757865004</v>
      </c>
      <c r="AN98" s="207">
        <f t="shared" si="260"/>
        <v>1.2651617757865004</v>
      </c>
      <c r="AO98" s="207">
        <f t="shared" si="260"/>
        <v>1.2651617757865004</v>
      </c>
      <c r="AP98" s="207">
        <f t="shared" si="260"/>
        <v>1.2651617757865004</v>
      </c>
      <c r="AQ98" s="207">
        <f t="shared" si="260"/>
        <v>1.2651617757865004</v>
      </c>
      <c r="AR98" s="207">
        <f t="shared" si="260"/>
        <v>1.2651617757865004</v>
      </c>
      <c r="AS98" s="207">
        <f t="shared" si="260"/>
        <v>1.2651617757865004</v>
      </c>
      <c r="AT98" s="207">
        <f t="shared" ref="AT98" si="261">EXP($S49*0.1176)</f>
        <v>1.2651617757865004</v>
      </c>
    </row>
    <row r="99" spans="1:339">
      <c r="C99" s="1" t="s">
        <v>335</v>
      </c>
      <c r="F99" s="208">
        <f>(1-F95)/(1+4.28*F97*F98*F96)</f>
        <v>0.28223955769871834</v>
      </c>
      <c r="G99" s="208">
        <f t="shared" ref="G99" si="262">(1-G95)/(1+4.28*G97*G98*G96)</f>
        <v>0.28223955769871834</v>
      </c>
      <c r="H99" s="208">
        <f t="shared" ref="H99" si="263">(1-H95)/(1+4.28*H97*H98*H96)</f>
        <v>0.28223955769871834</v>
      </c>
      <c r="I99" s="208">
        <f t="shared" ref="I99" si="264">(1-I95)/(1+4.28*I97*I98*I96)</f>
        <v>0.28223955769871834</v>
      </c>
      <c r="J99" s="208">
        <f t="shared" ref="J99" si="265">(1-J95)/(1+4.28*J97*J98*J96)</f>
        <v>0.28223955769871834</v>
      </c>
      <c r="K99" s="208">
        <f t="shared" ref="K99" si="266">(1-K95)/(1+4.28*K97*K98*K96)</f>
        <v>0.28223955769871834</v>
      </c>
      <c r="L99" s="208">
        <f t="shared" ref="L99" si="267">(1-L95)/(1+4.28*L97*L98*L96)</f>
        <v>0.28223955769871834</v>
      </c>
      <c r="M99" s="208">
        <f t="shared" ref="M99" si="268">(1-M95)/(1+4.28*M97*M98*M96)</f>
        <v>0.28223955769871834</v>
      </c>
      <c r="N99" s="208">
        <f t="shared" ref="N99" si="269">(1-N95)/(1+4.28*N97*N98*N96)</f>
        <v>0.28223955769871834</v>
      </c>
      <c r="O99" s="208">
        <f t="shared" ref="O99" si="270">(1-O95)/(1+4.28*O97*O98*O96)</f>
        <v>0.28223955769871834</v>
      </c>
      <c r="P99" s="208">
        <f t="shared" ref="P99" si="271">(1-P95)/(1+4.28*P97*P98*P96)</f>
        <v>0.28223955769871834</v>
      </c>
      <c r="Q99" s="208">
        <f t="shared" ref="Q99" si="272">(1-Q95)/(1+4.28*Q97*Q98*Q96)</f>
        <v>0.28223955769871834</v>
      </c>
      <c r="R99" s="208">
        <f t="shared" ref="R99" si="273">(1-R95)/(1+4.28*R97*R98*R96)</f>
        <v>0.28223955769871834</v>
      </c>
      <c r="S99" s="208">
        <f t="shared" ref="S99" si="274">(1-S95)/(1+4.28*S97*S98*S96)</f>
        <v>0.28223955769871834</v>
      </c>
      <c r="T99" s="208">
        <f t="shared" ref="T99" si="275">(1-T95)/(1+4.28*T97*T98*T96)</f>
        <v>0.28223955769871834</v>
      </c>
      <c r="U99" s="208">
        <f t="shared" ref="U99" si="276">(1-U95)/(1+4.28*U97*U98*U96)</f>
        <v>0.28223955769871834</v>
      </c>
      <c r="V99" s="208">
        <f t="shared" ref="V99" si="277">(1-V95)/(1+4.28*V97*V98*V96)</f>
        <v>0.28223955769871834</v>
      </c>
      <c r="W99" s="208">
        <f t="shared" ref="W99" si="278">(1-W95)/(1+4.28*W97*W98*W96)</f>
        <v>0.28223955769871834</v>
      </c>
      <c r="X99" s="208">
        <f t="shared" ref="X99" si="279">(1-X95)/(1+4.28*X97*X98*X96)</f>
        <v>0.28223955769871834</v>
      </c>
      <c r="Y99" s="208">
        <f t="shared" ref="Y99" si="280">(1-Y95)/(1+4.28*Y97*Y98*Y96)</f>
        <v>0.28223955769871834</v>
      </c>
      <c r="Z99" s="208">
        <f t="shared" ref="Z99" si="281">(1-Z95)/(1+4.28*Z97*Z98*Z96)</f>
        <v>0.28223955769871834</v>
      </c>
      <c r="AA99" s="208">
        <f t="shared" ref="AA99" si="282">(1-AA95)/(1+4.28*AA97*AA98*AA96)</f>
        <v>0.28223955769871834</v>
      </c>
      <c r="AB99" s="208">
        <f t="shared" ref="AB99" si="283">(1-AB95)/(1+4.28*AB97*AB98*AB96)</f>
        <v>0.28223955769871834</v>
      </c>
      <c r="AC99" s="208">
        <f t="shared" ref="AC99" si="284">(1-AC95)/(1+4.28*AC97*AC98*AC96)</f>
        <v>0.28223955769871834</v>
      </c>
      <c r="AD99" s="208">
        <f t="shared" ref="AD99" si="285">(1-AD95)/(1+4.28*AD97*AD98*AD96)</f>
        <v>0.28223955769871834</v>
      </c>
      <c r="AE99" s="208">
        <f t="shared" ref="AE99" si="286">(1-AE95)/(1+4.28*AE97*AE98*AE96)</f>
        <v>0.28223955769871834</v>
      </c>
      <c r="AF99" s="208">
        <f t="shared" ref="AF99" si="287">(1-AF95)/(1+4.28*AF97*AF98*AF96)</f>
        <v>0.28223955769871834</v>
      </c>
      <c r="AG99" s="208">
        <f t="shared" ref="AG99" si="288">(1-AG95)/(1+4.28*AG97*AG98*AG96)</f>
        <v>0.28223955769871834</v>
      </c>
      <c r="AH99" s="208">
        <f t="shared" ref="AH99" si="289">(1-AH95)/(1+4.28*AH97*AH98*AH96)</f>
        <v>0.28223955769871834</v>
      </c>
      <c r="AI99" s="208">
        <f t="shared" ref="AI99" si="290">(1-AI95)/(1+4.28*AI97*AI98*AI96)</f>
        <v>0.28223955769871834</v>
      </c>
      <c r="AJ99" s="208">
        <f t="shared" ref="AJ99" si="291">(1-AJ95)/(1+4.28*AJ97*AJ98*AJ96)</f>
        <v>0.28223955769871834</v>
      </c>
      <c r="AK99" s="208">
        <f t="shared" ref="AK99" si="292">(1-AK95)/(1+4.28*AK97*AK98*AK96)</f>
        <v>0.28223955769871834</v>
      </c>
      <c r="AL99" s="208">
        <f t="shared" ref="AL99" si="293">(1-AL95)/(1+4.28*AL97*AL98*AL96)</f>
        <v>0.28223955769871834</v>
      </c>
      <c r="AM99" s="208">
        <f t="shared" ref="AM99" si="294">(1-AM95)/(1+4.28*AM97*AM98*AM96)</f>
        <v>0.28223955769871834</v>
      </c>
      <c r="AN99" s="208">
        <f t="shared" ref="AN99" si="295">(1-AN95)/(1+4.28*AN97*AN98*AN96)</f>
        <v>0.28223955769871834</v>
      </c>
      <c r="AO99" s="208">
        <f t="shared" ref="AO99" si="296">(1-AO95)/(1+4.28*AO97*AO98*AO96)</f>
        <v>0.28223955769871834</v>
      </c>
      <c r="AP99" s="208">
        <f t="shared" ref="AP99" si="297">(1-AP95)/(1+4.28*AP97*AP98*AP96)</f>
        <v>0.28223955769871834</v>
      </c>
      <c r="AQ99" s="208">
        <f t="shared" ref="AQ99" si="298">(1-AQ95)/(1+4.28*AQ97*AQ98*AQ96)</f>
        <v>0.28223955769871834</v>
      </c>
      <c r="AR99" s="208">
        <f t="shared" ref="AR99:AT99" si="299">(1-AR95)/(1+4.28*AR97*AR98*AR96)</f>
        <v>0.28223955769871834</v>
      </c>
      <c r="AS99" s="208">
        <f t="shared" ref="AS99" si="300">(1-AS95)/(1+4.28*AS97*AS98*AS96)</f>
        <v>0.28223955769871834</v>
      </c>
      <c r="AT99" s="208">
        <f t="shared" si="299"/>
        <v>0.28223955769871834</v>
      </c>
    </row>
    <row r="106" spans="1:339" customFormat="1" ht="16">
      <c r="A106" s="210" t="s">
        <v>425</v>
      </c>
    </row>
    <row r="107" spans="1:339" s="22" customFormat="1" ht="14">
      <c r="A107" s="22" t="s">
        <v>357</v>
      </c>
      <c r="C107" s="198">
        <v>0</v>
      </c>
      <c r="D107" s="198">
        <v>1E-3</v>
      </c>
      <c r="E107" s="198">
        <v>2E-3</v>
      </c>
      <c r="F107" s="198">
        <v>3.0000000000000001E-3</v>
      </c>
      <c r="G107" s="198">
        <v>4.0000000000000001E-3</v>
      </c>
      <c r="H107" s="198">
        <v>5.0000000000000001E-3</v>
      </c>
      <c r="I107" s="198">
        <v>6.0000000000000001E-3</v>
      </c>
      <c r="J107" s="198">
        <v>7.0000000000000001E-3</v>
      </c>
      <c r="K107" s="198">
        <v>8.0000000000000002E-3</v>
      </c>
      <c r="L107" s="198">
        <v>8.9999999999999993E-3</v>
      </c>
      <c r="M107" s="198">
        <v>0.01</v>
      </c>
      <c r="N107" s="198">
        <v>1.0999999999999999E-2</v>
      </c>
      <c r="O107" s="198">
        <v>1.2E-2</v>
      </c>
      <c r="P107" s="198">
        <v>1.2999999999999999E-2</v>
      </c>
      <c r="Q107" s="198">
        <v>1.4E-2</v>
      </c>
      <c r="R107" s="198">
        <v>1.4999999999999999E-2</v>
      </c>
      <c r="S107" s="198">
        <v>1.6E-2</v>
      </c>
      <c r="T107" s="198">
        <v>1.7000000000000001E-2</v>
      </c>
      <c r="U107" s="198">
        <v>1.7999999999999999E-2</v>
      </c>
      <c r="V107" s="198">
        <v>1.9E-2</v>
      </c>
      <c r="W107" s="198">
        <v>0.02</v>
      </c>
      <c r="X107" s="198">
        <v>2.1000000000000001E-2</v>
      </c>
      <c r="Y107" s="198">
        <v>2.1999999999999999E-2</v>
      </c>
      <c r="Z107" s="198">
        <v>2.3E-2</v>
      </c>
      <c r="AA107" s="198">
        <v>2.4E-2</v>
      </c>
      <c r="AB107" s="198">
        <v>2.5000000000000001E-2</v>
      </c>
      <c r="AC107" s="198">
        <v>2.5999999999999999E-2</v>
      </c>
      <c r="AD107" s="198">
        <v>2.7E-2</v>
      </c>
      <c r="AE107" s="198">
        <v>2.8000000000000001E-2</v>
      </c>
      <c r="AF107" s="198">
        <v>2.9000000000000001E-2</v>
      </c>
      <c r="AG107" s="198">
        <v>0.03</v>
      </c>
      <c r="AH107" s="198">
        <v>3.1E-2</v>
      </c>
      <c r="AI107" s="198">
        <v>3.2000000000000001E-2</v>
      </c>
      <c r="AJ107" s="198">
        <v>3.3000000000000002E-2</v>
      </c>
      <c r="AK107" s="198">
        <v>3.4000000000000002E-2</v>
      </c>
      <c r="AL107" s="198">
        <v>3.5000000000000003E-2</v>
      </c>
      <c r="AM107" s="198">
        <v>3.5999999999999997E-2</v>
      </c>
      <c r="AN107" s="198">
        <v>3.6999999999999998E-2</v>
      </c>
      <c r="AO107" s="198">
        <v>3.7999999999999999E-2</v>
      </c>
      <c r="AP107" s="198">
        <v>3.9E-2</v>
      </c>
      <c r="AQ107" s="198">
        <v>0.04</v>
      </c>
      <c r="AR107" s="198">
        <v>4.1000000000000002E-2</v>
      </c>
      <c r="AS107" s="198">
        <v>4.2000000000000003E-2</v>
      </c>
      <c r="AT107" s="198">
        <v>4.2999999999999997E-2</v>
      </c>
      <c r="AU107" s="198">
        <v>4.3999999999999997E-2</v>
      </c>
      <c r="AV107" s="198">
        <v>4.4999999999999998E-2</v>
      </c>
      <c r="AW107" s="198">
        <v>4.5999999999999999E-2</v>
      </c>
      <c r="AX107" s="198">
        <v>4.7E-2</v>
      </c>
      <c r="AY107" s="198">
        <v>4.8000000000000001E-2</v>
      </c>
      <c r="AZ107" s="198">
        <v>4.9000000000000002E-2</v>
      </c>
      <c r="BA107" s="198">
        <v>0.05</v>
      </c>
      <c r="BB107" s="198">
        <v>5.0999999999999997E-2</v>
      </c>
      <c r="BC107" s="198">
        <v>5.1999999999999998E-2</v>
      </c>
      <c r="BD107" s="198">
        <v>5.2999999999999999E-2</v>
      </c>
      <c r="BE107" s="198">
        <v>5.3999999999999999E-2</v>
      </c>
      <c r="BF107" s="198">
        <v>5.5E-2</v>
      </c>
      <c r="BG107" s="198">
        <v>5.6000000000000001E-2</v>
      </c>
      <c r="BH107" s="198">
        <v>5.7000000000000002E-2</v>
      </c>
      <c r="BI107" s="198">
        <v>5.8000000000000003E-2</v>
      </c>
      <c r="BJ107" s="198">
        <v>5.8999999999999997E-2</v>
      </c>
      <c r="BK107" s="198">
        <v>0.06</v>
      </c>
      <c r="BL107" s="198">
        <v>6.0999999999999999E-2</v>
      </c>
      <c r="BM107" s="198">
        <v>6.2E-2</v>
      </c>
      <c r="BN107" s="198">
        <v>6.3E-2</v>
      </c>
      <c r="BO107" s="198">
        <v>6.4000000000000001E-2</v>
      </c>
      <c r="BP107" s="198">
        <v>6.5000000000000002E-2</v>
      </c>
      <c r="BQ107" s="198">
        <v>6.6000000000000003E-2</v>
      </c>
      <c r="BR107" s="198">
        <v>6.7000000000000004E-2</v>
      </c>
      <c r="BS107" s="198">
        <v>6.8000000000000005E-2</v>
      </c>
      <c r="BT107" s="198">
        <v>6.9000000000000006E-2</v>
      </c>
      <c r="BU107" s="198">
        <v>7.0000000000000007E-2</v>
      </c>
      <c r="BV107" s="198">
        <v>7.0999999999999994E-2</v>
      </c>
      <c r="BW107" s="198">
        <v>7.1999999999999995E-2</v>
      </c>
      <c r="BX107" s="198">
        <v>7.2999999999999995E-2</v>
      </c>
      <c r="BY107" s="198">
        <v>7.3999999999999996E-2</v>
      </c>
      <c r="BZ107" s="198">
        <v>7.4999999999999997E-2</v>
      </c>
      <c r="CA107" s="198">
        <v>7.5999999999999998E-2</v>
      </c>
      <c r="CB107" s="198">
        <v>7.6999999999999999E-2</v>
      </c>
      <c r="CC107" s="198">
        <v>7.8E-2</v>
      </c>
      <c r="CD107" s="198">
        <v>7.9000000000000001E-2</v>
      </c>
      <c r="CE107" s="198">
        <v>0.08</v>
      </c>
      <c r="CF107" s="198">
        <v>8.1000000000000003E-2</v>
      </c>
      <c r="CG107" s="198">
        <v>8.2000000000000003E-2</v>
      </c>
      <c r="CH107" s="198">
        <v>8.3000000000000004E-2</v>
      </c>
      <c r="CI107" s="198">
        <v>8.4000000000000005E-2</v>
      </c>
      <c r="CJ107" s="198">
        <v>8.5000000000000006E-2</v>
      </c>
      <c r="CK107" s="198">
        <v>8.5999999999999993E-2</v>
      </c>
      <c r="CL107" s="198">
        <v>8.6999999999999994E-2</v>
      </c>
      <c r="CM107" s="198">
        <v>8.7999999999999995E-2</v>
      </c>
      <c r="CN107" s="198">
        <v>8.8999999999999996E-2</v>
      </c>
      <c r="CO107" s="198">
        <v>0.09</v>
      </c>
      <c r="CP107" s="198">
        <v>9.0999999999999998E-2</v>
      </c>
      <c r="CQ107" s="198">
        <v>9.1999999999999998E-2</v>
      </c>
      <c r="CR107" s="198">
        <v>9.2999999999999999E-2</v>
      </c>
      <c r="CS107" s="198">
        <v>9.4E-2</v>
      </c>
      <c r="CT107" s="198">
        <v>9.5000000000000001E-2</v>
      </c>
      <c r="CU107" s="198">
        <v>9.6000000000000002E-2</v>
      </c>
      <c r="CV107" s="198">
        <v>9.7000000000000003E-2</v>
      </c>
      <c r="CW107" s="198">
        <v>9.8000000000000004E-2</v>
      </c>
      <c r="CX107" s="198">
        <v>9.9000000000000005E-2</v>
      </c>
      <c r="CY107" s="198">
        <v>0.1</v>
      </c>
      <c r="CZ107" s="198">
        <v>0.10100000000000001</v>
      </c>
      <c r="DA107" s="198">
        <v>0.10199999999999999</v>
      </c>
      <c r="DB107" s="198">
        <v>0.10299999999999999</v>
      </c>
      <c r="DC107" s="198">
        <v>0.104</v>
      </c>
      <c r="DD107" s="198">
        <v>0.105</v>
      </c>
      <c r="DE107" s="198">
        <v>0.106</v>
      </c>
      <c r="DF107" s="198">
        <v>0.107</v>
      </c>
      <c r="DG107" s="198">
        <v>0.108</v>
      </c>
      <c r="DH107" s="198">
        <v>0.109</v>
      </c>
      <c r="DI107" s="198">
        <v>0.11</v>
      </c>
      <c r="DJ107" s="198">
        <v>0.111</v>
      </c>
      <c r="DK107" s="198">
        <v>0.112</v>
      </c>
      <c r="DL107" s="198">
        <v>0.113</v>
      </c>
      <c r="DM107" s="198">
        <v>0.114</v>
      </c>
      <c r="DN107" s="198">
        <v>0.115</v>
      </c>
      <c r="DO107" s="198">
        <v>0.11600000000000001</v>
      </c>
      <c r="DP107" s="198">
        <v>0.11700000000000001</v>
      </c>
      <c r="DQ107" s="198">
        <v>0.11799999999999999</v>
      </c>
      <c r="DR107" s="198">
        <v>0.11899999999999999</v>
      </c>
      <c r="DS107" s="198">
        <v>0.12</v>
      </c>
      <c r="DT107" s="198">
        <v>0.121</v>
      </c>
      <c r="DU107" s="198">
        <v>0.122</v>
      </c>
      <c r="DV107" s="198">
        <v>0.123</v>
      </c>
      <c r="DW107" s="198">
        <v>0.124</v>
      </c>
      <c r="DX107" s="198">
        <v>0.125</v>
      </c>
      <c r="DY107" s="198">
        <v>0.126</v>
      </c>
      <c r="DZ107" s="198">
        <v>0.127</v>
      </c>
      <c r="EA107" s="198">
        <v>0.128</v>
      </c>
      <c r="EB107" s="198">
        <v>0.129</v>
      </c>
      <c r="EC107" s="198">
        <v>0.13</v>
      </c>
      <c r="ED107" s="198">
        <v>0.13100000000000001</v>
      </c>
      <c r="EE107" s="198">
        <v>0.13200000000000001</v>
      </c>
      <c r="EF107" s="198">
        <v>0.13300000000000001</v>
      </c>
      <c r="EG107" s="198">
        <v>0.13400000000000001</v>
      </c>
      <c r="EH107" s="198">
        <v>0.13500000000000001</v>
      </c>
      <c r="EI107" s="198">
        <v>0.13600000000000001</v>
      </c>
      <c r="EJ107" s="198">
        <v>0.13700000000000001</v>
      </c>
      <c r="EK107" s="198">
        <v>0.13800000000000001</v>
      </c>
      <c r="EL107" s="198">
        <v>0.13900000000000001</v>
      </c>
      <c r="EM107" s="198">
        <v>0.14000000000000001</v>
      </c>
      <c r="EN107" s="198">
        <v>0.14099999999999999</v>
      </c>
      <c r="EO107" s="198">
        <v>0.14199999999999999</v>
      </c>
      <c r="EP107" s="198">
        <v>0.14299999999999999</v>
      </c>
      <c r="EQ107" s="198">
        <v>0.14399999999999999</v>
      </c>
      <c r="ER107" s="198">
        <v>0.14499999999999999</v>
      </c>
      <c r="ES107" s="198">
        <v>0.14599999999999999</v>
      </c>
      <c r="ET107" s="198">
        <v>0.14699999999999999</v>
      </c>
      <c r="EU107" s="198">
        <v>0.14799999999999999</v>
      </c>
      <c r="EV107" s="198">
        <v>0.14899999999999999</v>
      </c>
      <c r="EW107" s="198">
        <v>0.15</v>
      </c>
      <c r="EX107" s="198">
        <v>0.151</v>
      </c>
      <c r="EY107" s="198">
        <v>0.152</v>
      </c>
      <c r="EZ107" s="198">
        <v>0.153</v>
      </c>
      <c r="FA107" s="198">
        <v>0.154</v>
      </c>
      <c r="FB107" s="198">
        <v>0.155</v>
      </c>
      <c r="FC107" s="198">
        <v>0.156</v>
      </c>
      <c r="FD107" s="198">
        <v>0.157</v>
      </c>
      <c r="FE107" s="198">
        <v>0.158</v>
      </c>
      <c r="FF107" s="198">
        <v>0.159</v>
      </c>
      <c r="FG107" s="198">
        <v>0.16</v>
      </c>
      <c r="FH107" s="198">
        <v>0.161</v>
      </c>
      <c r="FI107" s="198">
        <v>0.16200000000000001</v>
      </c>
      <c r="FJ107" s="198">
        <v>0.16300000000000001</v>
      </c>
      <c r="FK107" s="198">
        <v>0.16400000000000001</v>
      </c>
      <c r="FL107" s="198">
        <v>0.16500000000000001</v>
      </c>
      <c r="FM107" s="198">
        <v>0.16600000000000001</v>
      </c>
      <c r="FN107" s="198">
        <v>0.16700000000000001</v>
      </c>
      <c r="FO107" s="198">
        <v>0.16800000000000001</v>
      </c>
      <c r="FP107" s="198">
        <v>0.16900000000000001</v>
      </c>
      <c r="FQ107" s="198">
        <v>0.17</v>
      </c>
      <c r="FR107" s="198">
        <v>0.17100000000000001</v>
      </c>
      <c r="FS107" s="198">
        <v>0.17199999999999999</v>
      </c>
      <c r="FT107" s="198">
        <v>0.17299999999999999</v>
      </c>
      <c r="FU107" s="198">
        <v>0.17399999999999999</v>
      </c>
      <c r="FV107" s="198">
        <v>0.17499999999999999</v>
      </c>
      <c r="FW107" s="198">
        <v>0.17599999999999999</v>
      </c>
      <c r="FX107" s="198">
        <v>0.17699999999999999</v>
      </c>
      <c r="FY107" s="198">
        <v>0.17799999999999999</v>
      </c>
      <c r="FZ107" s="198">
        <v>0.17899999999999999</v>
      </c>
      <c r="GA107" s="198">
        <v>0.18</v>
      </c>
      <c r="GB107" s="198">
        <v>0.18099999999999999</v>
      </c>
      <c r="GC107" s="198">
        <v>0.182</v>
      </c>
      <c r="GD107" s="198">
        <v>0.183</v>
      </c>
      <c r="GE107" s="198">
        <v>0.184</v>
      </c>
      <c r="GF107" s="198">
        <v>0.185</v>
      </c>
      <c r="GG107" s="198">
        <v>0.186</v>
      </c>
      <c r="GH107" s="198">
        <v>0.187</v>
      </c>
      <c r="GI107" s="198">
        <v>0.188</v>
      </c>
      <c r="GJ107" s="198">
        <v>0.189</v>
      </c>
      <c r="GK107" s="198">
        <v>0.19</v>
      </c>
      <c r="GL107" s="198">
        <v>0.191</v>
      </c>
      <c r="GM107" s="198">
        <v>0.192</v>
      </c>
      <c r="GN107" s="198">
        <v>0.193</v>
      </c>
      <c r="GO107" s="198">
        <v>0.19400000000000001</v>
      </c>
      <c r="GP107" s="198">
        <v>0.19500000000000001</v>
      </c>
      <c r="GQ107" s="198">
        <v>0.19600000000000001</v>
      </c>
      <c r="GR107" s="198">
        <v>0.19700000000000001</v>
      </c>
      <c r="GS107" s="198">
        <v>0.19800000000000001</v>
      </c>
      <c r="GT107" s="198">
        <v>0.19900000000000001</v>
      </c>
      <c r="GU107" s="198">
        <v>0.2</v>
      </c>
      <c r="GV107" s="198">
        <v>0.20100000000000001</v>
      </c>
      <c r="GW107" s="198">
        <v>0.20200000000000001</v>
      </c>
      <c r="GX107" s="198">
        <v>0.20300000000000001</v>
      </c>
      <c r="GY107" s="198">
        <v>0.20399999999999999</v>
      </c>
      <c r="GZ107" s="198">
        <v>0.20499999999999999</v>
      </c>
      <c r="HA107" s="198">
        <v>0.20599999999999999</v>
      </c>
      <c r="HB107" s="198">
        <v>0.20699999999999999</v>
      </c>
      <c r="HC107" s="198">
        <v>0.20799999999999999</v>
      </c>
      <c r="HD107" s="198">
        <v>0.20899999999999999</v>
      </c>
      <c r="HE107" s="198">
        <v>0.21</v>
      </c>
      <c r="HF107" s="198">
        <v>0.21099999999999999</v>
      </c>
      <c r="HG107" s="198">
        <v>0.21199999999999999</v>
      </c>
      <c r="HH107" s="198">
        <v>0.21299999999999999</v>
      </c>
      <c r="HI107" s="198">
        <v>0.214</v>
      </c>
      <c r="HJ107" s="198">
        <v>0.215</v>
      </c>
      <c r="HK107" s="198">
        <v>0.216</v>
      </c>
      <c r="HL107" s="198">
        <v>0.217</v>
      </c>
      <c r="HM107" s="198">
        <v>0.218</v>
      </c>
      <c r="HN107" s="198">
        <v>0.219</v>
      </c>
      <c r="HO107" s="198">
        <v>0.22</v>
      </c>
      <c r="HP107" s="198">
        <v>0.221</v>
      </c>
      <c r="HQ107" s="198">
        <v>0.222</v>
      </c>
      <c r="HR107" s="198">
        <v>0.223</v>
      </c>
      <c r="HS107" s="198">
        <v>0.224</v>
      </c>
      <c r="HT107" s="198">
        <v>0.22500000000000001</v>
      </c>
      <c r="HU107" s="198">
        <v>0.22600000000000001</v>
      </c>
      <c r="HV107" s="198">
        <v>0.22700000000000001</v>
      </c>
      <c r="HW107" s="198">
        <v>0.22800000000000001</v>
      </c>
      <c r="HX107" s="198">
        <v>0.22900000000000001</v>
      </c>
      <c r="HY107" s="198">
        <v>0.23</v>
      </c>
      <c r="HZ107" s="198">
        <v>0.23100000000000001</v>
      </c>
      <c r="IA107" s="198">
        <v>0.23200000000000001</v>
      </c>
      <c r="IB107" s="198">
        <v>0.23300000000000001</v>
      </c>
      <c r="IC107" s="198">
        <v>0.23400000000000001</v>
      </c>
      <c r="ID107" s="198">
        <v>0.23499999999999999</v>
      </c>
      <c r="IE107" s="198">
        <v>0.23599999999999999</v>
      </c>
      <c r="IF107" s="198">
        <v>0.23699999999999999</v>
      </c>
      <c r="IG107" s="198">
        <v>0.23799999999999999</v>
      </c>
      <c r="IH107" s="198">
        <v>0.23899999999999999</v>
      </c>
      <c r="II107" s="198">
        <v>0.24</v>
      </c>
      <c r="IJ107" s="198">
        <v>0.24099999999999999</v>
      </c>
      <c r="IK107" s="198">
        <v>0.24199999999999999</v>
      </c>
      <c r="IL107" s="198">
        <v>0.24299999999999999</v>
      </c>
      <c r="IM107" s="198">
        <v>0.24399999999999999</v>
      </c>
      <c r="IN107" s="198">
        <v>0.245</v>
      </c>
      <c r="IO107" s="198">
        <v>0.246</v>
      </c>
      <c r="IP107" s="198">
        <v>0.247</v>
      </c>
      <c r="IQ107" s="198">
        <v>0.248</v>
      </c>
      <c r="IR107" s="198">
        <v>0.249</v>
      </c>
      <c r="IS107" s="198">
        <v>0.25</v>
      </c>
      <c r="IT107" s="198">
        <v>0.251</v>
      </c>
      <c r="IU107" s="198">
        <v>0.252</v>
      </c>
      <c r="IV107" s="198">
        <v>0.253</v>
      </c>
      <c r="IW107" s="198">
        <v>0.254</v>
      </c>
      <c r="IX107" s="198">
        <v>0.255</v>
      </c>
      <c r="IY107" s="198">
        <v>0.25600000000000001</v>
      </c>
      <c r="IZ107" s="198">
        <v>0.25700000000000001</v>
      </c>
      <c r="JA107" s="198">
        <v>0.25800000000000001</v>
      </c>
      <c r="JB107" s="198">
        <v>0.25900000000000001</v>
      </c>
      <c r="JC107" s="198">
        <v>0.26</v>
      </c>
      <c r="JD107" s="198">
        <v>0.26100000000000001</v>
      </c>
      <c r="JE107" s="198">
        <v>0.26200000000000001</v>
      </c>
      <c r="JF107" s="198">
        <v>0.26300000000000001</v>
      </c>
      <c r="JG107" s="198">
        <v>0.26400000000000001</v>
      </c>
      <c r="JH107" s="198">
        <v>0.26500000000000001</v>
      </c>
      <c r="JI107" s="198">
        <v>0.26600000000000001</v>
      </c>
      <c r="JJ107" s="198">
        <v>0.26700000000000002</v>
      </c>
      <c r="JK107" s="198">
        <v>0.26800000000000002</v>
      </c>
      <c r="JL107" s="198">
        <v>0.26900000000000002</v>
      </c>
      <c r="JM107" s="198">
        <v>0.27</v>
      </c>
      <c r="JN107" s="198">
        <v>0.27100000000000002</v>
      </c>
      <c r="JO107" s="198">
        <v>0.27200000000000002</v>
      </c>
      <c r="JP107" s="198">
        <v>0.27300000000000002</v>
      </c>
      <c r="JQ107" s="198">
        <v>0.27400000000000002</v>
      </c>
      <c r="JR107" s="198">
        <v>0.27500000000000002</v>
      </c>
      <c r="JS107" s="198">
        <v>0.27600000000000002</v>
      </c>
      <c r="JT107" s="198">
        <v>0.27700000000000002</v>
      </c>
      <c r="JU107" s="198">
        <v>0.27800000000000002</v>
      </c>
      <c r="JV107" s="198">
        <v>0.27900000000000003</v>
      </c>
      <c r="JW107" s="198">
        <v>0.28000000000000003</v>
      </c>
      <c r="JX107" s="198">
        <v>0.28100000000000003</v>
      </c>
      <c r="JY107" s="198">
        <v>0.28199999999999997</v>
      </c>
      <c r="JZ107" s="198">
        <v>0.28299999999999997</v>
      </c>
      <c r="KA107" s="198">
        <v>0.28399999999999997</v>
      </c>
      <c r="KB107" s="198">
        <v>0.28499999999999998</v>
      </c>
      <c r="KC107" s="198">
        <v>0.28599999999999998</v>
      </c>
      <c r="KD107" s="198">
        <v>0.28699999999999998</v>
      </c>
      <c r="KE107" s="198">
        <v>0.28799999999999998</v>
      </c>
      <c r="KF107" s="198">
        <v>0.28899999999999998</v>
      </c>
      <c r="KG107" s="198">
        <v>0.28999999999999998</v>
      </c>
      <c r="KH107" s="198">
        <v>0.29099999999999998</v>
      </c>
      <c r="KI107" s="198">
        <v>0.29199999999999998</v>
      </c>
      <c r="KJ107" s="198">
        <v>0.29299999999999998</v>
      </c>
      <c r="KK107" s="198">
        <v>0.29399999999999998</v>
      </c>
      <c r="KL107" s="198">
        <v>0.29499999999999998</v>
      </c>
      <c r="KM107" s="198">
        <v>0.29599999999999999</v>
      </c>
      <c r="KN107" s="198">
        <v>0.29699999999999999</v>
      </c>
      <c r="KO107" s="198">
        <v>0.29799999999999999</v>
      </c>
      <c r="KP107" s="198">
        <v>0.29899999999999999</v>
      </c>
      <c r="KQ107" s="198">
        <v>0.3</v>
      </c>
      <c r="KR107" s="198">
        <v>0.30099999999999999</v>
      </c>
      <c r="KS107" s="198">
        <v>0.30199999999999999</v>
      </c>
      <c r="KT107" s="198">
        <v>0.30299999999999999</v>
      </c>
      <c r="KU107" s="198">
        <v>0.30399999999999999</v>
      </c>
      <c r="KV107" s="198">
        <v>0.30499999999999999</v>
      </c>
      <c r="KW107" s="198">
        <v>0.30599999999999999</v>
      </c>
      <c r="KX107" s="198">
        <v>0.307</v>
      </c>
      <c r="KY107" s="198">
        <v>0.308</v>
      </c>
      <c r="KZ107" s="198">
        <v>0.309</v>
      </c>
      <c r="LA107" s="198">
        <v>0.31</v>
      </c>
      <c r="LB107" s="198">
        <v>0.311</v>
      </c>
      <c r="LC107" s="198">
        <v>0.312</v>
      </c>
      <c r="LD107" s="198">
        <v>0.313</v>
      </c>
      <c r="LE107" s="198">
        <v>0.314</v>
      </c>
      <c r="LF107" s="198">
        <v>0.315</v>
      </c>
      <c r="LG107" s="198">
        <v>0.316</v>
      </c>
      <c r="LH107" s="198">
        <v>0.317</v>
      </c>
      <c r="LI107" s="198">
        <v>0.318</v>
      </c>
      <c r="LJ107" s="198">
        <v>0.31900000000000001</v>
      </c>
      <c r="LK107" s="198">
        <v>0.32</v>
      </c>
      <c r="LL107" s="198">
        <v>0.32100000000000001</v>
      </c>
      <c r="LM107" s="198">
        <v>0.32200000000000001</v>
      </c>
      <c r="LN107" s="198">
        <v>0.32300000000000001</v>
      </c>
      <c r="LO107" s="198">
        <v>0.32400000000000001</v>
      </c>
      <c r="LP107" s="198">
        <v>0.32500000000000001</v>
      </c>
      <c r="LQ107" s="198">
        <v>0.32600000000000001</v>
      </c>
      <c r="LR107" s="198">
        <v>0.32700000000000001</v>
      </c>
      <c r="LS107" s="198">
        <v>0.32800000000000001</v>
      </c>
      <c r="LT107" s="198">
        <v>0.32900000000000001</v>
      </c>
      <c r="LU107" s="198">
        <v>0.33</v>
      </c>
      <c r="LV107" s="198">
        <v>0.33100000000000002</v>
      </c>
      <c r="LW107" s="198">
        <v>0.33200000000000002</v>
      </c>
      <c r="LX107" s="198">
        <v>0.33300000000000002</v>
      </c>
      <c r="LY107" s="198">
        <v>0.33400000000000002</v>
      </c>
      <c r="LZ107" s="198">
        <v>0.33500000000000002</v>
      </c>
      <c r="MA107" s="198">
        <v>0.33600000000000002</v>
      </c>
    </row>
    <row r="108" spans="1:339" s="211" customFormat="1" ht="16">
      <c r="A108" s="216" t="s">
        <v>354</v>
      </c>
      <c r="C108" s="217">
        <v>0</v>
      </c>
      <c r="D108" s="218">
        <f t="shared" ref="D108:L108" si="301">$C108+(($M108-$C108)/($M$107-$C$107))*(D$107-$C$107)</f>
        <v>8.0000000000000002E-3</v>
      </c>
      <c r="E108" s="218">
        <f t="shared" si="301"/>
        <v>1.6E-2</v>
      </c>
      <c r="F108" s="218">
        <f t="shared" si="301"/>
        <v>2.4E-2</v>
      </c>
      <c r="G108" s="218">
        <f t="shared" si="301"/>
        <v>3.2000000000000001E-2</v>
      </c>
      <c r="H108" s="218">
        <f t="shared" si="301"/>
        <v>0.04</v>
      </c>
      <c r="I108" s="218">
        <f t="shared" si="301"/>
        <v>4.8000000000000001E-2</v>
      </c>
      <c r="J108" s="218">
        <f t="shared" si="301"/>
        <v>5.6000000000000001E-2</v>
      </c>
      <c r="K108" s="218">
        <f t="shared" si="301"/>
        <v>6.4000000000000001E-2</v>
      </c>
      <c r="L108" s="218">
        <f t="shared" si="301"/>
        <v>7.1999999999999995E-2</v>
      </c>
      <c r="M108" s="217">
        <v>0.08</v>
      </c>
      <c r="N108" s="218">
        <f t="shared" ref="N108:V108" si="302">$M108+(($W108-$M108)/($W$107-$M$107))*(N$107-$M$107)</f>
        <v>7.350000000000001E-2</v>
      </c>
      <c r="O108" s="218">
        <f t="shared" si="302"/>
        <v>6.7000000000000004E-2</v>
      </c>
      <c r="P108" s="218">
        <f t="shared" si="302"/>
        <v>6.0500000000000005E-2</v>
      </c>
      <c r="Q108" s="218">
        <f t="shared" si="302"/>
        <v>5.3999999999999999E-2</v>
      </c>
      <c r="R108" s="218">
        <f t="shared" si="302"/>
        <v>4.7500000000000007E-2</v>
      </c>
      <c r="S108" s="218">
        <f t="shared" si="302"/>
        <v>4.1000000000000002E-2</v>
      </c>
      <c r="T108" s="218">
        <f t="shared" si="302"/>
        <v>3.4499999999999996E-2</v>
      </c>
      <c r="U108" s="218">
        <f t="shared" si="302"/>
        <v>2.8000000000000011E-2</v>
      </c>
      <c r="V108" s="218">
        <f t="shared" si="302"/>
        <v>2.1500000000000005E-2</v>
      </c>
      <c r="W108" s="217">
        <v>1.4999999999999999E-2</v>
      </c>
      <c r="X108" s="218">
        <f t="shared" ref="X108:AF108" si="303">$W108+(($AG108-$W108)/($AG$107-$W$107))*(X$107-$W$107)</f>
        <v>1.5600000000000001E-2</v>
      </c>
      <c r="Y108" s="218">
        <f t="shared" si="303"/>
        <v>1.6199999999999999E-2</v>
      </c>
      <c r="Z108" s="218">
        <f t="shared" si="303"/>
        <v>1.6799999999999999E-2</v>
      </c>
      <c r="AA108" s="218">
        <f t="shared" si="303"/>
        <v>1.7399999999999999E-2</v>
      </c>
      <c r="AB108" s="218">
        <f t="shared" si="303"/>
        <v>1.8000000000000002E-2</v>
      </c>
      <c r="AC108" s="218">
        <f t="shared" si="303"/>
        <v>1.8599999999999998E-2</v>
      </c>
      <c r="AD108" s="218">
        <f t="shared" si="303"/>
        <v>1.9200000000000002E-2</v>
      </c>
      <c r="AE108" s="218">
        <f t="shared" si="303"/>
        <v>1.9800000000000002E-2</v>
      </c>
      <c r="AF108" s="218">
        <f t="shared" si="303"/>
        <v>2.0400000000000001E-2</v>
      </c>
      <c r="AG108" s="217">
        <v>2.1000000000000001E-2</v>
      </c>
      <c r="AH108" s="218">
        <f t="shared" ref="AH108:AP108" si="304">$AG108+(($AQ108-$AG108)/($AQ$107-$AG$107))*(AH$107-$AG$107)</f>
        <v>2.1700000000000001E-2</v>
      </c>
      <c r="AI108" s="218">
        <f t="shared" si="304"/>
        <v>2.2400000000000003E-2</v>
      </c>
      <c r="AJ108" s="218">
        <f t="shared" si="304"/>
        <v>2.3100000000000002E-2</v>
      </c>
      <c r="AK108" s="218">
        <f t="shared" si="304"/>
        <v>2.3800000000000002E-2</v>
      </c>
      <c r="AL108" s="218">
        <f t="shared" si="304"/>
        <v>2.4500000000000004E-2</v>
      </c>
      <c r="AM108" s="218">
        <f t="shared" si="304"/>
        <v>2.52E-2</v>
      </c>
      <c r="AN108" s="218">
        <f t="shared" si="304"/>
        <v>2.5899999999999999E-2</v>
      </c>
      <c r="AO108" s="218">
        <f t="shared" si="304"/>
        <v>2.6599999999999999E-2</v>
      </c>
      <c r="AP108" s="218">
        <f t="shared" si="304"/>
        <v>2.7300000000000001E-2</v>
      </c>
      <c r="AQ108" s="217">
        <v>2.8000000000000001E-2</v>
      </c>
      <c r="AR108" s="218">
        <f t="shared" ref="AR108:AZ108" si="305">$AQ108+(($BA108-$AQ108)/($BA$107-$AQ$107))*(AR$107-$AQ$107)</f>
        <v>2.8500000000000001E-2</v>
      </c>
      <c r="AS108" s="218">
        <f t="shared" si="305"/>
        <v>2.9000000000000001E-2</v>
      </c>
      <c r="AT108" s="218">
        <f t="shared" si="305"/>
        <v>2.9499999999999998E-2</v>
      </c>
      <c r="AU108" s="218">
        <f t="shared" si="305"/>
        <v>0.03</v>
      </c>
      <c r="AV108" s="218">
        <f t="shared" si="305"/>
        <v>3.0499999999999999E-2</v>
      </c>
      <c r="AW108" s="218">
        <f t="shared" si="305"/>
        <v>3.1E-2</v>
      </c>
      <c r="AX108" s="218">
        <f t="shared" si="305"/>
        <v>3.15E-2</v>
      </c>
      <c r="AY108" s="218">
        <f t="shared" si="305"/>
        <v>3.2000000000000001E-2</v>
      </c>
      <c r="AZ108" s="218">
        <f t="shared" si="305"/>
        <v>3.2500000000000001E-2</v>
      </c>
      <c r="BA108" s="217">
        <v>3.3000000000000002E-2</v>
      </c>
      <c r="BB108" s="218">
        <f t="shared" ref="BB108:BJ108" si="306">$BA108+(($BK108-$BA108)/($BK$107-$BA$107))*(BB$107-$BA$107)</f>
        <v>3.3599999999999998E-2</v>
      </c>
      <c r="BC108" s="218">
        <f t="shared" si="306"/>
        <v>3.4200000000000001E-2</v>
      </c>
      <c r="BD108" s="218">
        <f t="shared" si="306"/>
        <v>3.4799999999999998E-2</v>
      </c>
      <c r="BE108" s="218">
        <f t="shared" si="306"/>
        <v>3.5400000000000001E-2</v>
      </c>
      <c r="BF108" s="218">
        <f t="shared" si="306"/>
        <v>3.5999999999999997E-2</v>
      </c>
      <c r="BG108" s="218">
        <f t="shared" si="306"/>
        <v>3.6600000000000001E-2</v>
      </c>
      <c r="BH108" s="218">
        <f t="shared" si="306"/>
        <v>3.7200000000000004E-2</v>
      </c>
      <c r="BI108" s="218">
        <f t="shared" si="306"/>
        <v>3.78E-2</v>
      </c>
      <c r="BJ108" s="218">
        <f t="shared" si="306"/>
        <v>3.8399999999999997E-2</v>
      </c>
      <c r="BK108" s="217">
        <v>3.9E-2</v>
      </c>
      <c r="BL108" s="218">
        <f t="shared" ref="BL108:BT108" si="307">$BK108+(($BU108-$BK108)/($BU$107-$BK$107))*(BL$107-$BK$107)</f>
        <v>3.95E-2</v>
      </c>
      <c r="BM108" s="218">
        <f t="shared" si="307"/>
        <v>0.04</v>
      </c>
      <c r="BN108" s="218">
        <f t="shared" si="307"/>
        <v>4.0500000000000001E-2</v>
      </c>
      <c r="BO108" s="218">
        <f t="shared" si="307"/>
        <v>4.1000000000000002E-2</v>
      </c>
      <c r="BP108" s="218">
        <f t="shared" si="307"/>
        <v>4.1499999999999995E-2</v>
      </c>
      <c r="BQ108" s="218">
        <f t="shared" si="307"/>
        <v>4.1999999999999996E-2</v>
      </c>
      <c r="BR108" s="218">
        <f t="shared" si="307"/>
        <v>4.2499999999999996E-2</v>
      </c>
      <c r="BS108" s="218">
        <f t="shared" si="307"/>
        <v>4.2999999999999997E-2</v>
      </c>
      <c r="BT108" s="218">
        <f t="shared" si="307"/>
        <v>4.3499999999999997E-2</v>
      </c>
      <c r="BU108" s="217">
        <v>4.3999999999999997E-2</v>
      </c>
      <c r="BV108" s="218">
        <f t="shared" ref="BV108:CD108" si="308">$BU108+(($CE108-$BU108)/($CE$107-$BU$107))*(BV$107-$BU$107)</f>
        <v>4.4399999999999995E-2</v>
      </c>
      <c r="BW108" s="218">
        <f t="shared" si="308"/>
        <v>4.4799999999999993E-2</v>
      </c>
      <c r="BX108" s="218">
        <f t="shared" si="308"/>
        <v>4.5199999999999997E-2</v>
      </c>
      <c r="BY108" s="218">
        <f t="shared" si="308"/>
        <v>4.5599999999999995E-2</v>
      </c>
      <c r="BZ108" s="218">
        <f t="shared" si="308"/>
        <v>4.5999999999999999E-2</v>
      </c>
      <c r="CA108" s="218">
        <f t="shared" si="308"/>
        <v>4.6399999999999997E-2</v>
      </c>
      <c r="CB108" s="218">
        <f t="shared" si="308"/>
        <v>4.6800000000000001E-2</v>
      </c>
      <c r="CC108" s="218">
        <f t="shared" si="308"/>
        <v>4.7199999999999999E-2</v>
      </c>
      <c r="CD108" s="218">
        <f t="shared" si="308"/>
        <v>4.7600000000000003E-2</v>
      </c>
      <c r="CE108" s="217">
        <v>4.8000000000000001E-2</v>
      </c>
      <c r="CF108" s="218">
        <f t="shared" ref="CF108:CN108" si="309">$CE108+(($CO108-$CE108)/($CO$107-$CE$107))*(CF$107-$CE$107)</f>
        <v>4.8500000000000001E-2</v>
      </c>
      <c r="CG108" s="218">
        <f t="shared" si="309"/>
        <v>4.9000000000000002E-2</v>
      </c>
      <c r="CH108" s="218">
        <f t="shared" si="309"/>
        <v>4.9500000000000002E-2</v>
      </c>
      <c r="CI108" s="218">
        <f t="shared" si="309"/>
        <v>0.05</v>
      </c>
      <c r="CJ108" s="218">
        <f t="shared" si="309"/>
        <v>5.0500000000000003E-2</v>
      </c>
      <c r="CK108" s="218">
        <f t="shared" si="309"/>
        <v>5.0999999999999997E-2</v>
      </c>
      <c r="CL108" s="218">
        <f t="shared" si="309"/>
        <v>5.1499999999999997E-2</v>
      </c>
      <c r="CM108" s="218">
        <f t="shared" si="309"/>
        <v>5.1999999999999998E-2</v>
      </c>
      <c r="CN108" s="218">
        <f t="shared" si="309"/>
        <v>5.2499999999999998E-2</v>
      </c>
      <c r="CO108" s="217">
        <v>5.2999999999999999E-2</v>
      </c>
      <c r="CP108" s="218">
        <f t="shared" ref="CP108:CX108" si="310">$CO108+(($CY108-$CO108)/($CY$107-$CO$107))*(CP$107-$CO$107)</f>
        <v>5.3399999999999996E-2</v>
      </c>
      <c r="CQ108" s="218">
        <f t="shared" si="310"/>
        <v>5.3800000000000001E-2</v>
      </c>
      <c r="CR108" s="218">
        <f t="shared" si="310"/>
        <v>5.4199999999999998E-2</v>
      </c>
      <c r="CS108" s="218">
        <f t="shared" si="310"/>
        <v>5.4600000000000003E-2</v>
      </c>
      <c r="CT108" s="218">
        <f t="shared" si="310"/>
        <v>5.5E-2</v>
      </c>
      <c r="CU108" s="218">
        <f t="shared" si="310"/>
        <v>5.5399999999999998E-2</v>
      </c>
      <c r="CV108" s="219">
        <f t="shared" si="310"/>
        <v>5.5800000000000002E-2</v>
      </c>
      <c r="CW108" s="219">
        <f t="shared" si="310"/>
        <v>5.62E-2</v>
      </c>
      <c r="CX108" s="219">
        <f t="shared" si="310"/>
        <v>5.6600000000000004E-2</v>
      </c>
      <c r="CY108" s="220">
        <v>5.7000000000000002E-2</v>
      </c>
      <c r="CZ108" s="219">
        <f t="shared" ref="CZ108:EE108" si="311">$CY108+(($GU108-$CY108)/($GU$107-$CY$107))*(CZ$107-$CY$107)</f>
        <v>5.7320000000000003E-2</v>
      </c>
      <c r="DA108" s="219">
        <f t="shared" si="311"/>
        <v>5.7639999999999997E-2</v>
      </c>
      <c r="DB108" s="219">
        <f t="shared" si="311"/>
        <v>5.7959999999999998E-2</v>
      </c>
      <c r="DC108" s="219">
        <f t="shared" si="311"/>
        <v>5.8279999999999998E-2</v>
      </c>
      <c r="DD108" s="219">
        <f t="shared" si="311"/>
        <v>5.8599999999999999E-2</v>
      </c>
      <c r="DE108" s="219">
        <f t="shared" si="311"/>
        <v>5.892E-2</v>
      </c>
      <c r="DF108" s="219">
        <f t="shared" si="311"/>
        <v>5.9240000000000001E-2</v>
      </c>
      <c r="DG108" s="219">
        <f t="shared" si="311"/>
        <v>5.9560000000000002E-2</v>
      </c>
      <c r="DH108" s="219">
        <f t="shared" si="311"/>
        <v>5.9880000000000003E-2</v>
      </c>
      <c r="DI108" s="219">
        <f t="shared" si="311"/>
        <v>6.0199999999999997E-2</v>
      </c>
      <c r="DJ108" s="219">
        <f t="shared" si="311"/>
        <v>6.0519999999999997E-2</v>
      </c>
      <c r="DK108" s="219">
        <f t="shared" si="311"/>
        <v>6.0839999999999998E-2</v>
      </c>
      <c r="DL108" s="219">
        <f t="shared" si="311"/>
        <v>6.1159999999999999E-2</v>
      </c>
      <c r="DM108" s="219">
        <f t="shared" si="311"/>
        <v>6.148E-2</v>
      </c>
      <c r="DN108" s="219">
        <f t="shared" si="311"/>
        <v>6.1800000000000001E-2</v>
      </c>
      <c r="DO108" s="219">
        <f t="shared" si="311"/>
        <v>6.2120000000000002E-2</v>
      </c>
      <c r="DP108" s="219">
        <f t="shared" si="311"/>
        <v>6.2440000000000002E-2</v>
      </c>
      <c r="DQ108" s="219">
        <f t="shared" si="311"/>
        <v>6.2759999999999996E-2</v>
      </c>
      <c r="DR108" s="219">
        <f t="shared" si="311"/>
        <v>6.3079999999999997E-2</v>
      </c>
      <c r="DS108" s="219">
        <f t="shared" si="311"/>
        <v>6.3399999999999998E-2</v>
      </c>
      <c r="DT108" s="219">
        <f t="shared" si="311"/>
        <v>6.3719999999999999E-2</v>
      </c>
      <c r="DU108" s="219">
        <f t="shared" si="311"/>
        <v>6.404E-2</v>
      </c>
      <c r="DV108" s="219">
        <f t="shared" si="311"/>
        <v>6.4360000000000001E-2</v>
      </c>
      <c r="DW108" s="219">
        <f t="shared" si="311"/>
        <v>6.4680000000000001E-2</v>
      </c>
      <c r="DX108" s="219">
        <f t="shared" si="311"/>
        <v>6.5000000000000002E-2</v>
      </c>
      <c r="DY108" s="219">
        <f t="shared" si="311"/>
        <v>6.5320000000000003E-2</v>
      </c>
      <c r="DZ108" s="219">
        <f t="shared" si="311"/>
        <v>6.5640000000000004E-2</v>
      </c>
      <c r="EA108" s="219">
        <f t="shared" si="311"/>
        <v>6.5959999999999991E-2</v>
      </c>
      <c r="EB108" s="219">
        <f t="shared" si="311"/>
        <v>6.6280000000000006E-2</v>
      </c>
      <c r="EC108" s="219">
        <f t="shared" si="311"/>
        <v>6.6599999999999993E-2</v>
      </c>
      <c r="ED108" s="219">
        <f t="shared" si="311"/>
        <v>6.6919999999999993E-2</v>
      </c>
      <c r="EE108" s="219">
        <f t="shared" si="311"/>
        <v>6.7239999999999994E-2</v>
      </c>
      <c r="EF108" s="219">
        <f t="shared" ref="EF108:FK108" si="312">$CY108+(($GU108-$CY108)/($GU$107-$CY$107))*(EF$107-$CY$107)</f>
        <v>6.7559999999999995E-2</v>
      </c>
      <c r="EG108" s="219">
        <f t="shared" si="312"/>
        <v>6.7879999999999996E-2</v>
      </c>
      <c r="EH108" s="219">
        <f t="shared" si="312"/>
        <v>6.8199999999999997E-2</v>
      </c>
      <c r="EI108" s="219">
        <f t="shared" si="312"/>
        <v>6.8519999999999998E-2</v>
      </c>
      <c r="EJ108" s="219">
        <f t="shared" si="312"/>
        <v>6.8839999999999998E-2</v>
      </c>
      <c r="EK108" s="219">
        <f t="shared" si="312"/>
        <v>6.9159999999999999E-2</v>
      </c>
      <c r="EL108" s="219">
        <f t="shared" si="312"/>
        <v>6.948E-2</v>
      </c>
      <c r="EM108" s="219">
        <f t="shared" si="312"/>
        <v>6.9800000000000001E-2</v>
      </c>
      <c r="EN108" s="219">
        <f t="shared" si="312"/>
        <v>7.0119999999999988E-2</v>
      </c>
      <c r="EO108" s="219">
        <f t="shared" si="312"/>
        <v>7.0439999999999989E-2</v>
      </c>
      <c r="EP108" s="219">
        <f t="shared" si="312"/>
        <v>7.075999999999999E-2</v>
      </c>
      <c r="EQ108" s="219">
        <f t="shared" si="312"/>
        <v>7.107999999999999E-2</v>
      </c>
      <c r="ER108" s="219">
        <f t="shared" si="312"/>
        <v>7.1399999999999991E-2</v>
      </c>
      <c r="ES108" s="219">
        <f t="shared" si="312"/>
        <v>7.1719999999999992E-2</v>
      </c>
      <c r="ET108" s="219">
        <f t="shared" si="312"/>
        <v>7.2039999999999993E-2</v>
      </c>
      <c r="EU108" s="219">
        <f t="shared" si="312"/>
        <v>7.2359999999999994E-2</v>
      </c>
      <c r="EV108" s="219">
        <f t="shared" si="312"/>
        <v>7.2679999999999995E-2</v>
      </c>
      <c r="EW108" s="219">
        <f t="shared" si="312"/>
        <v>7.2999999999999995E-2</v>
      </c>
      <c r="EX108" s="219">
        <f t="shared" si="312"/>
        <v>7.3319999999999996E-2</v>
      </c>
      <c r="EY108" s="219">
        <f t="shared" si="312"/>
        <v>7.3639999999999997E-2</v>
      </c>
      <c r="EZ108" s="219">
        <f t="shared" si="312"/>
        <v>7.3959999999999998E-2</v>
      </c>
      <c r="FA108" s="219">
        <f t="shared" si="312"/>
        <v>7.4279999999999999E-2</v>
      </c>
      <c r="FB108" s="219">
        <f t="shared" si="312"/>
        <v>7.46E-2</v>
      </c>
      <c r="FC108" s="219">
        <f t="shared" si="312"/>
        <v>7.4919999999999987E-2</v>
      </c>
      <c r="FD108" s="219">
        <f t="shared" si="312"/>
        <v>7.5240000000000001E-2</v>
      </c>
      <c r="FE108" s="219">
        <f t="shared" si="312"/>
        <v>7.5559999999999988E-2</v>
      </c>
      <c r="FF108" s="219">
        <f t="shared" si="312"/>
        <v>7.5880000000000003E-2</v>
      </c>
      <c r="FG108" s="219">
        <f t="shared" si="312"/>
        <v>7.619999999999999E-2</v>
      </c>
      <c r="FH108" s="219">
        <f t="shared" si="312"/>
        <v>7.6519999999999991E-2</v>
      </c>
      <c r="FI108" s="219">
        <f t="shared" si="312"/>
        <v>7.6839999999999992E-2</v>
      </c>
      <c r="FJ108" s="219">
        <f t="shared" si="312"/>
        <v>7.7159999999999992E-2</v>
      </c>
      <c r="FK108" s="219">
        <f t="shared" si="312"/>
        <v>7.7479999999999993E-2</v>
      </c>
      <c r="FL108" s="219">
        <f t="shared" ref="FL108:GT108" si="313">$CY108+(($GU108-$CY108)/($GU$107-$CY$107))*(FL$107-$CY$107)</f>
        <v>7.7799999999999994E-2</v>
      </c>
      <c r="FM108" s="219">
        <f t="shared" si="313"/>
        <v>7.8119999999999995E-2</v>
      </c>
      <c r="FN108" s="219">
        <f t="shared" si="313"/>
        <v>7.8439999999999996E-2</v>
      </c>
      <c r="FO108" s="219">
        <f t="shared" si="313"/>
        <v>7.8759999999999997E-2</v>
      </c>
      <c r="FP108" s="219">
        <f t="shared" si="313"/>
        <v>7.9079999999999998E-2</v>
      </c>
      <c r="FQ108" s="219">
        <f t="shared" si="313"/>
        <v>7.9399999999999998E-2</v>
      </c>
      <c r="FR108" s="219">
        <f t="shared" si="313"/>
        <v>7.9719999999999999E-2</v>
      </c>
      <c r="FS108" s="219">
        <f t="shared" si="313"/>
        <v>8.0039999999999986E-2</v>
      </c>
      <c r="FT108" s="219">
        <f t="shared" si="313"/>
        <v>8.0359999999999987E-2</v>
      </c>
      <c r="FU108" s="219">
        <f t="shared" si="313"/>
        <v>8.0679999999999988E-2</v>
      </c>
      <c r="FV108" s="219">
        <f t="shared" si="313"/>
        <v>8.0999999999999989E-2</v>
      </c>
      <c r="FW108" s="219">
        <f t="shared" si="313"/>
        <v>8.131999999999999E-2</v>
      </c>
      <c r="FX108" s="219">
        <f t="shared" si="313"/>
        <v>8.163999999999999E-2</v>
      </c>
      <c r="FY108" s="219">
        <f t="shared" si="313"/>
        <v>8.1959999999999991E-2</v>
      </c>
      <c r="FZ108" s="219">
        <f t="shared" si="313"/>
        <v>8.2279999999999992E-2</v>
      </c>
      <c r="GA108" s="219">
        <f t="shared" si="313"/>
        <v>8.2599999999999993E-2</v>
      </c>
      <c r="GB108" s="219">
        <f t="shared" si="313"/>
        <v>8.2919999999999994E-2</v>
      </c>
      <c r="GC108" s="219">
        <f t="shared" si="313"/>
        <v>8.3239999999999995E-2</v>
      </c>
      <c r="GD108" s="219">
        <f t="shared" si="313"/>
        <v>8.3559999999999995E-2</v>
      </c>
      <c r="GE108" s="219">
        <f t="shared" si="313"/>
        <v>8.3879999999999982E-2</v>
      </c>
      <c r="GF108" s="219">
        <f t="shared" si="313"/>
        <v>8.4199999999999997E-2</v>
      </c>
      <c r="GG108" s="219">
        <f t="shared" si="313"/>
        <v>8.4519999999999984E-2</v>
      </c>
      <c r="GH108" s="219">
        <f t="shared" si="313"/>
        <v>8.4839999999999999E-2</v>
      </c>
      <c r="GI108" s="219">
        <f t="shared" si="313"/>
        <v>8.5159999999999986E-2</v>
      </c>
      <c r="GJ108" s="219">
        <f t="shared" si="313"/>
        <v>8.5479999999999987E-2</v>
      </c>
      <c r="GK108" s="219">
        <f t="shared" si="313"/>
        <v>8.5799999999999987E-2</v>
      </c>
      <c r="GL108" s="219">
        <f t="shared" si="313"/>
        <v>8.6119999999999988E-2</v>
      </c>
      <c r="GM108" s="219">
        <f t="shared" si="313"/>
        <v>8.6439999999999989E-2</v>
      </c>
      <c r="GN108" s="219">
        <f t="shared" si="313"/>
        <v>8.675999999999999E-2</v>
      </c>
      <c r="GO108" s="219">
        <f t="shared" si="313"/>
        <v>8.7079999999999991E-2</v>
      </c>
      <c r="GP108" s="219">
        <f t="shared" si="313"/>
        <v>8.7399999999999992E-2</v>
      </c>
      <c r="GQ108" s="219">
        <f t="shared" si="313"/>
        <v>8.7719999999999992E-2</v>
      </c>
      <c r="GR108" s="219">
        <f t="shared" si="313"/>
        <v>8.8039999999999993E-2</v>
      </c>
      <c r="GS108" s="219">
        <f t="shared" si="313"/>
        <v>8.8359999999999994E-2</v>
      </c>
      <c r="GT108" s="219">
        <f t="shared" si="313"/>
        <v>8.8679999999999995E-2</v>
      </c>
      <c r="GU108" s="220">
        <v>8.8999999999999996E-2</v>
      </c>
      <c r="GV108" s="219">
        <f t="shared" ref="GV108:IA108" si="314">$GU108+(($KQ108-$GU108)/($KQ$107-$GU$107))*(GV$107-$GU$107)</f>
        <v>8.9200000000000002E-2</v>
      </c>
      <c r="GW108" s="219">
        <f t="shared" si="314"/>
        <v>8.9399999999999993E-2</v>
      </c>
      <c r="GX108" s="219">
        <f t="shared" si="314"/>
        <v>8.9599999999999999E-2</v>
      </c>
      <c r="GY108" s="219">
        <f t="shared" si="314"/>
        <v>8.9799999999999991E-2</v>
      </c>
      <c r="GZ108" s="219">
        <f t="shared" si="314"/>
        <v>0.09</v>
      </c>
      <c r="HA108" s="219">
        <f t="shared" si="314"/>
        <v>9.0199999999999989E-2</v>
      </c>
      <c r="HB108" s="219">
        <f t="shared" si="314"/>
        <v>9.0399999999999994E-2</v>
      </c>
      <c r="HC108" s="219">
        <f t="shared" si="314"/>
        <v>9.0599999999999986E-2</v>
      </c>
      <c r="HD108" s="219">
        <f t="shared" si="314"/>
        <v>9.0799999999999992E-2</v>
      </c>
      <c r="HE108" s="219">
        <f t="shared" si="314"/>
        <v>9.0999999999999998E-2</v>
      </c>
      <c r="HF108" s="219">
        <f t="shared" si="314"/>
        <v>9.1199999999999989E-2</v>
      </c>
      <c r="HG108" s="219">
        <f t="shared" si="314"/>
        <v>9.1399999999999995E-2</v>
      </c>
      <c r="HH108" s="219">
        <f t="shared" si="314"/>
        <v>9.1599999999999987E-2</v>
      </c>
      <c r="HI108" s="219">
        <f t="shared" si="314"/>
        <v>9.1799999999999993E-2</v>
      </c>
      <c r="HJ108" s="219">
        <f t="shared" si="314"/>
        <v>9.1999999999999998E-2</v>
      </c>
      <c r="HK108" s="219">
        <f t="shared" si="314"/>
        <v>9.219999999999999E-2</v>
      </c>
      <c r="HL108" s="219">
        <f t="shared" si="314"/>
        <v>9.2399999999999996E-2</v>
      </c>
      <c r="HM108" s="219">
        <f t="shared" si="314"/>
        <v>9.2600000000000002E-2</v>
      </c>
      <c r="HN108" s="219">
        <f t="shared" si="314"/>
        <v>9.2799999999999994E-2</v>
      </c>
      <c r="HO108" s="219">
        <f t="shared" si="314"/>
        <v>9.2999999999999999E-2</v>
      </c>
      <c r="HP108" s="219">
        <f t="shared" si="314"/>
        <v>9.3199999999999991E-2</v>
      </c>
      <c r="HQ108" s="219">
        <f t="shared" si="314"/>
        <v>9.3399999999999997E-2</v>
      </c>
      <c r="HR108" s="219">
        <f t="shared" si="314"/>
        <v>9.3600000000000003E-2</v>
      </c>
      <c r="HS108" s="219">
        <f t="shared" si="314"/>
        <v>9.3799999999999994E-2</v>
      </c>
      <c r="HT108" s="219">
        <f t="shared" si="314"/>
        <v>9.4E-2</v>
      </c>
      <c r="HU108" s="219">
        <f t="shared" si="314"/>
        <v>9.4199999999999992E-2</v>
      </c>
      <c r="HV108" s="219">
        <f t="shared" si="314"/>
        <v>9.4399999999999998E-2</v>
      </c>
      <c r="HW108" s="219">
        <f t="shared" si="314"/>
        <v>9.4600000000000004E-2</v>
      </c>
      <c r="HX108" s="219">
        <f t="shared" si="314"/>
        <v>9.4799999999999995E-2</v>
      </c>
      <c r="HY108" s="219">
        <f t="shared" si="314"/>
        <v>9.5000000000000001E-2</v>
      </c>
      <c r="HZ108" s="219">
        <f t="shared" si="314"/>
        <v>9.5199999999999993E-2</v>
      </c>
      <c r="IA108" s="219">
        <f t="shared" si="314"/>
        <v>9.5399999999999999E-2</v>
      </c>
      <c r="IB108" s="219">
        <f t="shared" ref="IB108:JG108" si="315">$GU108+(($KQ108-$GU108)/($KQ$107-$GU$107))*(IB$107-$GU$107)</f>
        <v>9.5600000000000004E-2</v>
      </c>
      <c r="IC108" s="219">
        <f t="shared" si="315"/>
        <v>9.5799999999999996E-2</v>
      </c>
      <c r="ID108" s="219">
        <f t="shared" si="315"/>
        <v>9.5999999999999988E-2</v>
      </c>
      <c r="IE108" s="219">
        <f t="shared" si="315"/>
        <v>9.6199999999999994E-2</v>
      </c>
      <c r="IF108" s="219">
        <f t="shared" si="315"/>
        <v>9.64E-2</v>
      </c>
      <c r="IG108" s="219">
        <f t="shared" si="315"/>
        <v>9.6599999999999991E-2</v>
      </c>
      <c r="IH108" s="219">
        <f t="shared" si="315"/>
        <v>9.6799999999999997E-2</v>
      </c>
      <c r="II108" s="219">
        <f t="shared" si="315"/>
        <v>9.7000000000000003E-2</v>
      </c>
      <c r="IJ108" s="219">
        <f t="shared" si="315"/>
        <v>9.7199999999999995E-2</v>
      </c>
      <c r="IK108" s="219">
        <f t="shared" si="315"/>
        <v>9.74E-2</v>
      </c>
      <c r="IL108" s="219">
        <f t="shared" si="315"/>
        <v>9.7599999999999992E-2</v>
      </c>
      <c r="IM108" s="219">
        <f t="shared" si="315"/>
        <v>9.7799999999999998E-2</v>
      </c>
      <c r="IN108" s="219">
        <f t="shared" si="315"/>
        <v>9.8000000000000004E-2</v>
      </c>
      <c r="IO108" s="219">
        <f t="shared" si="315"/>
        <v>9.8199999999999996E-2</v>
      </c>
      <c r="IP108" s="219">
        <f t="shared" si="315"/>
        <v>9.8400000000000001E-2</v>
      </c>
      <c r="IQ108" s="219">
        <f t="shared" si="315"/>
        <v>9.8599999999999993E-2</v>
      </c>
      <c r="IR108" s="219">
        <f t="shared" si="315"/>
        <v>9.8799999999999999E-2</v>
      </c>
      <c r="IS108" s="219">
        <f t="shared" si="315"/>
        <v>9.9000000000000005E-2</v>
      </c>
      <c r="IT108" s="219">
        <f t="shared" si="315"/>
        <v>9.9199999999999997E-2</v>
      </c>
      <c r="IU108" s="219">
        <f t="shared" si="315"/>
        <v>9.9400000000000002E-2</v>
      </c>
      <c r="IV108" s="219">
        <f t="shared" si="315"/>
        <v>9.9599999999999994E-2</v>
      </c>
      <c r="IW108" s="219">
        <f t="shared" si="315"/>
        <v>9.98E-2</v>
      </c>
      <c r="IX108" s="219">
        <f t="shared" si="315"/>
        <v>0.1</v>
      </c>
      <c r="IY108" s="219">
        <f t="shared" si="315"/>
        <v>0.1002</v>
      </c>
      <c r="IZ108" s="219">
        <f t="shared" si="315"/>
        <v>0.1004</v>
      </c>
      <c r="JA108" s="219">
        <f t="shared" si="315"/>
        <v>0.10059999999999999</v>
      </c>
      <c r="JB108" s="219">
        <f t="shared" si="315"/>
        <v>0.1008</v>
      </c>
      <c r="JC108" s="219">
        <f t="shared" si="315"/>
        <v>0.10100000000000001</v>
      </c>
      <c r="JD108" s="219">
        <f t="shared" si="315"/>
        <v>0.1012</v>
      </c>
      <c r="JE108" s="219">
        <f t="shared" si="315"/>
        <v>0.1014</v>
      </c>
      <c r="JF108" s="219">
        <f t="shared" si="315"/>
        <v>0.1016</v>
      </c>
      <c r="JG108" s="219">
        <f t="shared" si="315"/>
        <v>0.1018</v>
      </c>
      <c r="JH108" s="219">
        <f t="shared" ref="JH108:KP108" si="316">$GU108+(($KQ108-$GU108)/($KQ$107-$GU$107))*(JH$107-$GU$107)</f>
        <v>0.10200000000000001</v>
      </c>
      <c r="JI108" s="219">
        <f t="shared" si="316"/>
        <v>0.1022</v>
      </c>
      <c r="JJ108" s="219">
        <f t="shared" si="316"/>
        <v>0.1024</v>
      </c>
      <c r="JK108" s="219">
        <f t="shared" si="316"/>
        <v>0.1026</v>
      </c>
      <c r="JL108" s="219">
        <f t="shared" si="316"/>
        <v>0.1028</v>
      </c>
      <c r="JM108" s="219">
        <f t="shared" si="316"/>
        <v>0.10300000000000001</v>
      </c>
      <c r="JN108" s="219">
        <f t="shared" si="316"/>
        <v>0.1032</v>
      </c>
      <c r="JO108" s="219">
        <f t="shared" si="316"/>
        <v>0.10340000000000001</v>
      </c>
      <c r="JP108" s="219">
        <f t="shared" si="316"/>
        <v>0.1036</v>
      </c>
      <c r="JQ108" s="219">
        <f t="shared" si="316"/>
        <v>0.1038</v>
      </c>
      <c r="JR108" s="219">
        <f t="shared" si="316"/>
        <v>0.10400000000000001</v>
      </c>
      <c r="JS108" s="219">
        <f t="shared" si="316"/>
        <v>0.1042</v>
      </c>
      <c r="JT108" s="219">
        <f t="shared" si="316"/>
        <v>0.10440000000000001</v>
      </c>
      <c r="JU108" s="219">
        <f t="shared" si="316"/>
        <v>0.1046</v>
      </c>
      <c r="JV108" s="219">
        <f t="shared" si="316"/>
        <v>0.1048</v>
      </c>
      <c r="JW108" s="219">
        <f t="shared" si="316"/>
        <v>0.10500000000000001</v>
      </c>
      <c r="JX108" s="219">
        <f t="shared" si="316"/>
        <v>0.1052</v>
      </c>
      <c r="JY108" s="219">
        <f t="shared" si="316"/>
        <v>0.10539999999999999</v>
      </c>
      <c r="JZ108" s="219">
        <f t="shared" si="316"/>
        <v>0.1056</v>
      </c>
      <c r="KA108" s="219">
        <f t="shared" si="316"/>
        <v>0.10579999999999999</v>
      </c>
      <c r="KB108" s="219">
        <f t="shared" si="316"/>
        <v>0.106</v>
      </c>
      <c r="KC108" s="219">
        <f t="shared" si="316"/>
        <v>0.10619999999999999</v>
      </c>
      <c r="KD108" s="219">
        <f t="shared" si="316"/>
        <v>0.10639999999999999</v>
      </c>
      <c r="KE108" s="219">
        <f t="shared" si="316"/>
        <v>0.1066</v>
      </c>
      <c r="KF108" s="219">
        <f t="shared" si="316"/>
        <v>0.10680000000000001</v>
      </c>
      <c r="KG108" s="219">
        <f t="shared" si="316"/>
        <v>0.107</v>
      </c>
      <c r="KH108" s="219">
        <f t="shared" si="316"/>
        <v>0.10719999999999999</v>
      </c>
      <c r="KI108" s="219">
        <f t="shared" si="316"/>
        <v>0.1074</v>
      </c>
      <c r="KJ108" s="219">
        <f t="shared" si="316"/>
        <v>0.1076</v>
      </c>
      <c r="KK108" s="219">
        <f t="shared" si="316"/>
        <v>0.10780000000000001</v>
      </c>
      <c r="KL108" s="219">
        <f t="shared" si="316"/>
        <v>0.108</v>
      </c>
      <c r="KM108" s="219">
        <f t="shared" si="316"/>
        <v>0.1082</v>
      </c>
      <c r="KN108" s="219">
        <f t="shared" si="316"/>
        <v>0.1084</v>
      </c>
      <c r="KO108" s="219">
        <f t="shared" si="316"/>
        <v>0.1086</v>
      </c>
      <c r="KP108" s="219">
        <f t="shared" si="316"/>
        <v>0.10880000000000001</v>
      </c>
      <c r="KQ108" s="220">
        <v>0.109</v>
      </c>
    </row>
  </sheetData>
  <mergeCells count="12">
    <mergeCell ref="Z46:AA46"/>
    <mergeCell ref="AB46:AB47"/>
    <mergeCell ref="K46:O46"/>
    <mergeCell ref="J46:J47"/>
    <mergeCell ref="I46:I47"/>
    <mergeCell ref="B46:D47"/>
    <mergeCell ref="X46:Y46"/>
    <mergeCell ref="H46:H47"/>
    <mergeCell ref="P46:P47"/>
    <mergeCell ref="Q46:Q47"/>
    <mergeCell ref="F46:F47"/>
    <mergeCell ref="G46:G47"/>
  </mergeCells>
  <pageMargins left="0.7" right="0.7" top="0.75" bottom="0.75" header="0.3" footer="0.3"/>
  <pageSetup paperSize="3" scale="5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BEC0D-9C56-8144-A8BF-FB1B92775CD5}">
  <sheetPr>
    <tabColor theme="6"/>
  </sheetPr>
  <dimension ref="A1:AS41"/>
  <sheetViews>
    <sheetView topLeftCell="A11" zoomScale="130" zoomScaleNormal="130" workbookViewId="0">
      <selection activeCell="A19" sqref="A19:XFD19"/>
    </sheetView>
  </sheetViews>
  <sheetFormatPr baseColWidth="10" defaultColWidth="9.19921875" defaultRowHeight="13"/>
  <cols>
    <col min="1" max="3" width="3.3984375" style="1" customWidth="1"/>
    <col min="4" max="4" width="72.3984375" style="1" customWidth="1"/>
    <col min="5" max="5" width="14.796875" style="22" customWidth="1"/>
    <col min="6" max="6" width="14.19921875" style="22" customWidth="1"/>
    <col min="7" max="30" width="11.3984375" style="22" customWidth="1"/>
    <col min="31" max="32" width="11.3984375" style="1" customWidth="1"/>
    <col min="33" max="45" width="11.3984375" style="1" bestFit="1" customWidth="1"/>
    <col min="46" max="16384" width="9.19921875" style="1"/>
  </cols>
  <sheetData>
    <row r="1" spans="1:45" ht="20" thickBot="1">
      <c r="A1" s="19" t="s">
        <v>80</v>
      </c>
      <c r="B1" s="19"/>
      <c r="C1" s="19"/>
      <c r="D1" s="19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</row>
    <row r="2" spans="1:45" ht="19" thickTop="1" thickBot="1">
      <c r="A2" s="2" t="str">
        <f>'BCA Summary'!A2</f>
        <v>US 85/120th Avenue Grade-Separation and Interchange Project</v>
      </c>
      <c r="B2" s="17"/>
      <c r="C2" s="17"/>
      <c r="D2" s="17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</row>
    <row r="3" spans="1:45" ht="14" thickTop="1">
      <c r="A3" s="23"/>
      <c r="B3" s="23"/>
      <c r="C3" s="23"/>
      <c r="D3" s="23"/>
    </row>
    <row r="4" spans="1:45" s="18" customFormat="1" ht="17">
      <c r="A4" s="24"/>
      <c r="B4" s="24"/>
      <c r="C4" s="24"/>
      <c r="D4" s="24"/>
      <c r="E4" s="150">
        <f>'Summary of Benefits'!E4</f>
        <v>2015</v>
      </c>
      <c r="F4" s="150">
        <f>'Summary of Benefits'!F4</f>
        <v>2016</v>
      </c>
      <c r="G4" s="150">
        <f>'Summary of Benefits'!G4</f>
        <v>2017</v>
      </c>
      <c r="H4" s="150">
        <f>'Summary of Benefits'!H4</f>
        <v>2018</v>
      </c>
      <c r="I4" s="150">
        <f>'Summary of Benefits'!I4</f>
        <v>2019</v>
      </c>
      <c r="J4" s="150">
        <f>'Summary of Benefits'!J4</f>
        <v>2020</v>
      </c>
      <c r="K4" s="150">
        <f>'Summary of Benefits'!K4</f>
        <v>2021</v>
      </c>
      <c r="L4" s="150">
        <f>'Summary of Benefits'!L4</f>
        <v>2022</v>
      </c>
      <c r="M4" s="150">
        <f>'Summary of Benefits'!M4</f>
        <v>2023</v>
      </c>
      <c r="N4" s="150">
        <f>'Summary of Benefits'!N4</f>
        <v>2024</v>
      </c>
      <c r="O4" s="150">
        <f>'Summary of Benefits'!O4</f>
        <v>2025</v>
      </c>
      <c r="P4" s="150">
        <f>'Summary of Benefits'!P4</f>
        <v>2026</v>
      </c>
      <c r="Q4" s="150">
        <f>'Summary of Benefits'!Q4</f>
        <v>2027</v>
      </c>
      <c r="R4" s="150">
        <f>'Summary of Benefits'!R4</f>
        <v>2028</v>
      </c>
      <c r="S4" s="150">
        <f>'Summary of Benefits'!S4</f>
        <v>2029</v>
      </c>
      <c r="T4" s="150">
        <f>'Summary of Benefits'!T4</f>
        <v>2030</v>
      </c>
      <c r="U4" s="150">
        <f>'Summary of Benefits'!U4</f>
        <v>2031</v>
      </c>
      <c r="V4" s="150">
        <f>'Summary of Benefits'!V4</f>
        <v>2032</v>
      </c>
      <c r="W4" s="150">
        <f>'Summary of Benefits'!W4</f>
        <v>2033</v>
      </c>
      <c r="X4" s="150">
        <f>'Summary of Benefits'!X4</f>
        <v>2034</v>
      </c>
      <c r="Y4" s="150">
        <f>'Summary of Benefits'!Y4</f>
        <v>2035</v>
      </c>
      <c r="Z4" s="150">
        <f>'Summary of Benefits'!Z4</f>
        <v>2036</v>
      </c>
      <c r="AA4" s="150">
        <f>'Summary of Benefits'!AA4</f>
        <v>2037</v>
      </c>
      <c r="AB4" s="150">
        <f>'Summary of Benefits'!AB4</f>
        <v>2038</v>
      </c>
      <c r="AC4" s="150">
        <f>'Summary of Benefits'!AC4</f>
        <v>2039</v>
      </c>
      <c r="AD4" s="150">
        <f>'Summary of Benefits'!AD4</f>
        <v>2040</v>
      </c>
      <c r="AE4" s="150">
        <f>'Summary of Benefits'!AE4</f>
        <v>2041</v>
      </c>
      <c r="AF4" s="150">
        <f>'Summary of Benefits'!AF4</f>
        <v>2042</v>
      </c>
      <c r="AG4" s="150">
        <f>'Summary of Benefits'!AG4</f>
        <v>2043</v>
      </c>
      <c r="AH4" s="150">
        <f>'Summary of Benefits'!AH4</f>
        <v>2044</v>
      </c>
      <c r="AI4" s="150">
        <f>'Summary of Benefits'!AI4</f>
        <v>2045</v>
      </c>
      <c r="AJ4" s="150">
        <f>'Summary of Benefits'!AJ4</f>
        <v>2046</v>
      </c>
      <c r="AK4" s="150">
        <f>'Summary of Benefits'!AK4</f>
        <v>2047</v>
      </c>
      <c r="AL4" s="150">
        <f>'Summary of Benefits'!AL4</f>
        <v>2048</v>
      </c>
      <c r="AM4" s="150">
        <f>'Summary of Benefits'!AM4</f>
        <v>2049</v>
      </c>
      <c r="AN4" s="150">
        <f>'Summary of Benefits'!AN4</f>
        <v>2050</v>
      </c>
      <c r="AO4" s="150">
        <f>'Summary of Benefits'!AO4</f>
        <v>2051</v>
      </c>
      <c r="AP4" s="150">
        <f>'Summary of Benefits'!AP4</f>
        <v>2052</v>
      </c>
      <c r="AQ4" s="150">
        <f>'Summary of Benefits'!AQ4</f>
        <v>2053</v>
      </c>
      <c r="AR4" s="150">
        <f>'Summary of Benefits'!AR4</f>
        <v>2054</v>
      </c>
      <c r="AS4" s="150">
        <f>'Summary of Benefits'!AS4</f>
        <v>2055</v>
      </c>
    </row>
    <row r="5" spans="1:45" ht="16" thickBot="1">
      <c r="A5" s="32" t="str">
        <f>'BCA Summary'!A2&amp;" Freight Train Idling Benefits"</f>
        <v>US 85/120th Avenue Grade-Separation and Interchange Project Freight Train Idling Benefits</v>
      </c>
      <c r="B5" s="32"/>
      <c r="C5" s="32"/>
      <c r="D5" s="32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</row>
    <row r="6" spans="1:45">
      <c r="B6" s="153" t="str">
        <f>"Baseline (No "&amp;'BCA Summary'!$E$1&amp;" Grant) Benefits"</f>
        <v>Baseline (No BUILD Grant Grant) Benefits</v>
      </c>
      <c r="C6" s="47"/>
      <c r="D6" s="34"/>
      <c r="E6" s="35" t="str">
        <f>'Timeline &amp; Costs'!E$8</f>
        <v>No</v>
      </c>
      <c r="F6" s="35" t="str">
        <f>'Timeline &amp; Costs'!F$8</f>
        <v>No</v>
      </c>
      <c r="G6" s="35" t="str">
        <f>'Timeline &amp; Costs'!G$8</f>
        <v>No</v>
      </c>
      <c r="H6" s="35" t="str">
        <f>'Timeline &amp; Costs'!H$8</f>
        <v>No</v>
      </c>
      <c r="I6" s="35" t="str">
        <f>'Timeline &amp; Costs'!I$8</f>
        <v>No</v>
      </c>
      <c r="J6" s="35" t="str">
        <f>'Timeline &amp; Costs'!J$8</f>
        <v>No</v>
      </c>
      <c r="K6" s="35" t="str">
        <f>'Timeline &amp; Costs'!K$8</f>
        <v>No</v>
      </c>
      <c r="L6" s="35" t="str">
        <f>'Timeline &amp; Costs'!L$8</f>
        <v>No</v>
      </c>
      <c r="M6" s="35" t="str">
        <f>'Timeline &amp; Costs'!M$8</f>
        <v>No</v>
      </c>
      <c r="N6" s="35" t="str">
        <f>'Timeline &amp; Costs'!N$8</f>
        <v>No</v>
      </c>
      <c r="O6" s="35" t="str">
        <f>'Timeline &amp; Costs'!O$8</f>
        <v>No</v>
      </c>
      <c r="P6" s="35" t="str">
        <f>'Timeline &amp; Costs'!P$8</f>
        <v>No</v>
      </c>
      <c r="Q6" s="35" t="str">
        <f>'Timeline &amp; Costs'!Q$8</f>
        <v>No</v>
      </c>
      <c r="R6" s="35" t="str">
        <f>'Timeline &amp; Costs'!R$8</f>
        <v>No</v>
      </c>
      <c r="S6" s="35" t="str">
        <f>'Timeline &amp; Costs'!S$8</f>
        <v>No</v>
      </c>
      <c r="T6" s="35" t="str">
        <f>'Timeline &amp; Costs'!T$8</f>
        <v>No</v>
      </c>
      <c r="U6" s="35" t="str">
        <f>'Timeline &amp; Costs'!U$8</f>
        <v>No</v>
      </c>
      <c r="V6" s="35" t="str">
        <f>'Timeline &amp; Costs'!V$8</f>
        <v>No</v>
      </c>
      <c r="W6" s="35" t="str">
        <f>'Timeline &amp; Costs'!W$8</f>
        <v>No</v>
      </c>
      <c r="X6" s="35" t="str">
        <f>'Timeline &amp; Costs'!X$8</f>
        <v>No</v>
      </c>
      <c r="Y6" s="35" t="str">
        <f>'Timeline &amp; Costs'!Y$8</f>
        <v>No</v>
      </c>
      <c r="Z6" s="35" t="str">
        <f>'Timeline &amp; Costs'!Z$8</f>
        <v>No</v>
      </c>
      <c r="AA6" s="35" t="str">
        <f>'Timeline &amp; Costs'!AA$8</f>
        <v>No</v>
      </c>
      <c r="AB6" s="35" t="str">
        <f>'Timeline &amp; Costs'!AB$8</f>
        <v>No</v>
      </c>
      <c r="AC6" s="35" t="str">
        <f>'Timeline &amp; Costs'!AC$8</f>
        <v>No</v>
      </c>
      <c r="AD6" s="35" t="str">
        <f>'Timeline &amp; Costs'!AD$8</f>
        <v>No</v>
      </c>
      <c r="AE6" s="35" t="str">
        <f>'Timeline &amp; Costs'!AE$8</f>
        <v>No</v>
      </c>
      <c r="AF6" s="35" t="str">
        <f>'Timeline &amp; Costs'!AF$8</f>
        <v>No</v>
      </c>
      <c r="AG6" s="35" t="str">
        <f>'Timeline &amp; Costs'!AG$8</f>
        <v>No</v>
      </c>
      <c r="AH6" s="35" t="str">
        <f>'Timeline &amp; Costs'!AH$8</f>
        <v>No</v>
      </c>
      <c r="AI6" s="35" t="str">
        <f>'Timeline &amp; Costs'!AI$8</f>
        <v>No</v>
      </c>
      <c r="AJ6" s="35" t="str">
        <f>'Timeline &amp; Costs'!AJ$8</f>
        <v>No</v>
      </c>
      <c r="AK6" s="35" t="str">
        <f>'Timeline &amp; Costs'!AK$8</f>
        <v>No</v>
      </c>
      <c r="AL6" s="35" t="str">
        <f>'Timeline &amp; Costs'!AL$8</f>
        <v>No</v>
      </c>
      <c r="AM6" s="35" t="str">
        <f>'Timeline &amp; Costs'!AM$8</f>
        <v>No</v>
      </c>
      <c r="AN6" s="35" t="str">
        <f>'Timeline &amp; Costs'!AN$8</f>
        <v>No</v>
      </c>
      <c r="AO6" s="35" t="str">
        <f>'Timeline &amp; Costs'!AO$8</f>
        <v>No</v>
      </c>
      <c r="AP6" s="35" t="str">
        <f>'Timeline &amp; Costs'!AP$8</f>
        <v>No</v>
      </c>
      <c r="AQ6" s="35" t="str">
        <f>'Timeline &amp; Costs'!AQ$8</f>
        <v>No</v>
      </c>
      <c r="AR6" s="35" t="str">
        <f>'Timeline &amp; Costs'!AR$8</f>
        <v>No</v>
      </c>
      <c r="AS6" s="35" t="str">
        <f>'Timeline &amp; Costs'!AS$8</f>
        <v>No</v>
      </c>
    </row>
    <row r="7" spans="1:45">
      <c r="B7" s="36" t="str">
        <f>"Preferred (With "&amp;'BCA Summary'!$E$1&amp;" Grant) Benefits"</f>
        <v>Preferred (With BUILD Grant Grant) Benefits</v>
      </c>
      <c r="C7" s="36"/>
      <c r="D7" s="34"/>
      <c r="E7" s="35">
        <f>'Timeline &amp; Costs'!E17</f>
        <v>0</v>
      </c>
      <c r="F7" s="35">
        <f>'Timeline &amp; Costs'!F17</f>
        <v>0</v>
      </c>
      <c r="G7" s="35">
        <f>'Timeline &amp; Costs'!G17</f>
        <v>0</v>
      </c>
      <c r="H7" s="35" t="str">
        <f>'Timeline &amp; Costs'!H17</f>
        <v>No</v>
      </c>
      <c r="I7" s="35" t="str">
        <f>'Timeline &amp; Costs'!I17</f>
        <v>No</v>
      </c>
      <c r="J7" s="35" t="str">
        <f>'Timeline &amp; Costs'!J17</f>
        <v>No</v>
      </c>
      <c r="K7" s="35" t="str">
        <f>'Timeline &amp; Costs'!K17</f>
        <v>No</v>
      </c>
      <c r="L7" s="35" t="str">
        <f>'Timeline &amp; Costs'!L17</f>
        <v>No</v>
      </c>
      <c r="M7" s="35" t="str">
        <f>'Timeline &amp; Costs'!M17</f>
        <v>No</v>
      </c>
      <c r="N7" s="35" t="str">
        <f>'Timeline &amp; Costs'!N17</f>
        <v>No</v>
      </c>
      <c r="O7" s="35" t="str">
        <f>'Timeline &amp; Costs'!O17</f>
        <v>No</v>
      </c>
      <c r="P7" s="35" t="str">
        <f>'Timeline &amp; Costs'!P17</f>
        <v>No</v>
      </c>
      <c r="Q7" s="35" t="str">
        <f>'Timeline &amp; Costs'!Q17</f>
        <v>No</v>
      </c>
      <c r="R7" s="35" t="str">
        <f>'Timeline &amp; Costs'!R17</f>
        <v>No</v>
      </c>
      <c r="S7" s="35" t="str">
        <f>'Timeline &amp; Costs'!S17</f>
        <v>No</v>
      </c>
      <c r="T7" s="35" t="str">
        <f>'Timeline &amp; Costs'!T17</f>
        <v>Yes</v>
      </c>
      <c r="U7" s="35" t="str">
        <f>'Timeline &amp; Costs'!U17</f>
        <v>Yes</v>
      </c>
      <c r="V7" s="35" t="str">
        <f>'Timeline &amp; Costs'!V17</f>
        <v>Yes</v>
      </c>
      <c r="W7" s="35" t="str">
        <f>'Timeline &amp; Costs'!W17</f>
        <v>Yes</v>
      </c>
      <c r="X7" s="35" t="str">
        <f>'Timeline &amp; Costs'!X17</f>
        <v>Yes</v>
      </c>
      <c r="Y7" s="35" t="str">
        <f>'Timeline &amp; Costs'!Y17</f>
        <v>Yes</v>
      </c>
      <c r="Z7" s="35" t="str">
        <f>'Timeline &amp; Costs'!Z17</f>
        <v>Yes</v>
      </c>
      <c r="AA7" s="35" t="str">
        <f>'Timeline &amp; Costs'!AA17</f>
        <v>Yes</v>
      </c>
      <c r="AB7" s="35" t="str">
        <f>'Timeline &amp; Costs'!AB17</f>
        <v>Yes</v>
      </c>
      <c r="AC7" s="35" t="str">
        <f>'Timeline &amp; Costs'!AC17</f>
        <v>Yes</v>
      </c>
      <c r="AD7" s="35" t="str">
        <f>'Timeline &amp; Costs'!AD17</f>
        <v>Yes</v>
      </c>
      <c r="AE7" s="35" t="str">
        <f>'Timeline &amp; Costs'!AE17</f>
        <v>Yes</v>
      </c>
      <c r="AF7" s="35" t="str">
        <f>'Timeline &amp; Costs'!AF17</f>
        <v>Yes</v>
      </c>
      <c r="AG7" s="35" t="str">
        <f>'Timeline &amp; Costs'!AG17</f>
        <v>Yes</v>
      </c>
      <c r="AH7" s="35" t="str">
        <f>'Timeline &amp; Costs'!AH17</f>
        <v>Yes</v>
      </c>
      <c r="AI7" s="35" t="str">
        <f>'Timeline &amp; Costs'!AI17</f>
        <v>Yes</v>
      </c>
      <c r="AJ7" s="35" t="str">
        <f>'Timeline &amp; Costs'!AJ17</f>
        <v>Yes</v>
      </c>
      <c r="AK7" s="35" t="str">
        <f>'Timeline &amp; Costs'!AK17</f>
        <v>Yes</v>
      </c>
      <c r="AL7" s="35" t="str">
        <f>'Timeline &amp; Costs'!AL17</f>
        <v>Yes</v>
      </c>
      <c r="AM7" s="35" t="str">
        <f>'Timeline &amp; Costs'!AM17</f>
        <v>Yes</v>
      </c>
      <c r="AN7" s="35" t="str">
        <f>'Timeline &amp; Costs'!AN17</f>
        <v>Yes</v>
      </c>
      <c r="AO7" s="35" t="str">
        <f>'Timeline &amp; Costs'!AO17</f>
        <v>Yes</v>
      </c>
      <c r="AP7" s="35" t="str">
        <f>'Timeline &amp; Costs'!AP17</f>
        <v>Yes</v>
      </c>
      <c r="AQ7" s="35" t="str">
        <f>'Timeline &amp; Costs'!AQ17</f>
        <v>Yes</v>
      </c>
      <c r="AR7" s="35" t="str">
        <f>'Timeline &amp; Costs'!AR17</f>
        <v>Yes</v>
      </c>
      <c r="AS7" s="35" t="str">
        <f>'Timeline &amp; Costs'!AS17</f>
        <v>Yes</v>
      </c>
    </row>
    <row r="8" spans="1:45">
      <c r="B8" s="36"/>
      <c r="C8" s="36"/>
      <c r="D8" s="34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</row>
    <row r="9" spans="1:45" ht="16" thickBot="1">
      <c r="A9" s="32" t="s">
        <v>285</v>
      </c>
      <c r="B9" s="32"/>
      <c r="C9" s="32"/>
      <c r="D9" s="32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</row>
    <row r="10" spans="1:45">
      <c r="B10" s="153" t="str">
        <f>"Baseline (No "&amp;'BCA Summary'!$E$1&amp;" Grant) Benefits"</f>
        <v>Baseline (No BUILD Grant Grant) Benefits</v>
      </c>
      <c r="C10" s="47"/>
      <c r="D10" s="34"/>
      <c r="E10" s="35" t="str">
        <f t="shared" ref="E10:AS10" si="0">E6</f>
        <v>No</v>
      </c>
      <c r="F10" s="35" t="str">
        <f t="shared" si="0"/>
        <v>No</v>
      </c>
      <c r="G10" s="35" t="str">
        <f t="shared" si="0"/>
        <v>No</v>
      </c>
      <c r="H10" s="35" t="str">
        <f t="shared" si="0"/>
        <v>No</v>
      </c>
      <c r="I10" s="35" t="str">
        <f t="shared" si="0"/>
        <v>No</v>
      </c>
      <c r="J10" s="35" t="str">
        <f t="shared" si="0"/>
        <v>No</v>
      </c>
      <c r="K10" s="35" t="str">
        <f t="shared" si="0"/>
        <v>No</v>
      </c>
      <c r="L10" s="35" t="str">
        <f t="shared" si="0"/>
        <v>No</v>
      </c>
      <c r="M10" s="35" t="str">
        <f t="shared" si="0"/>
        <v>No</v>
      </c>
      <c r="N10" s="35" t="str">
        <f t="shared" si="0"/>
        <v>No</v>
      </c>
      <c r="O10" s="35" t="str">
        <f t="shared" si="0"/>
        <v>No</v>
      </c>
      <c r="P10" s="35" t="str">
        <f t="shared" si="0"/>
        <v>No</v>
      </c>
      <c r="Q10" s="35" t="str">
        <f t="shared" si="0"/>
        <v>No</v>
      </c>
      <c r="R10" s="35" t="str">
        <f t="shared" si="0"/>
        <v>No</v>
      </c>
      <c r="S10" s="35" t="str">
        <f t="shared" si="0"/>
        <v>No</v>
      </c>
      <c r="T10" s="35" t="str">
        <f t="shared" si="0"/>
        <v>No</v>
      </c>
      <c r="U10" s="35" t="str">
        <f t="shared" si="0"/>
        <v>No</v>
      </c>
      <c r="V10" s="35" t="str">
        <f t="shared" si="0"/>
        <v>No</v>
      </c>
      <c r="W10" s="35" t="str">
        <f t="shared" si="0"/>
        <v>No</v>
      </c>
      <c r="X10" s="35" t="str">
        <f t="shared" si="0"/>
        <v>No</v>
      </c>
      <c r="Y10" s="35" t="str">
        <f t="shared" si="0"/>
        <v>No</v>
      </c>
      <c r="Z10" s="35" t="str">
        <f t="shared" si="0"/>
        <v>No</v>
      </c>
      <c r="AA10" s="35" t="str">
        <f t="shared" si="0"/>
        <v>No</v>
      </c>
      <c r="AB10" s="35" t="str">
        <f t="shared" si="0"/>
        <v>No</v>
      </c>
      <c r="AC10" s="35" t="str">
        <f t="shared" si="0"/>
        <v>No</v>
      </c>
      <c r="AD10" s="35" t="str">
        <f t="shared" si="0"/>
        <v>No</v>
      </c>
      <c r="AE10" s="35" t="str">
        <f t="shared" si="0"/>
        <v>No</v>
      </c>
      <c r="AF10" s="35" t="str">
        <f t="shared" si="0"/>
        <v>No</v>
      </c>
      <c r="AG10" s="35" t="str">
        <f t="shared" si="0"/>
        <v>No</v>
      </c>
      <c r="AH10" s="35" t="str">
        <f t="shared" si="0"/>
        <v>No</v>
      </c>
      <c r="AI10" s="35" t="str">
        <f t="shared" si="0"/>
        <v>No</v>
      </c>
      <c r="AJ10" s="35" t="str">
        <f t="shared" si="0"/>
        <v>No</v>
      </c>
      <c r="AK10" s="35" t="str">
        <f t="shared" si="0"/>
        <v>No</v>
      </c>
      <c r="AL10" s="35" t="str">
        <f t="shared" si="0"/>
        <v>No</v>
      </c>
      <c r="AM10" s="35" t="str">
        <f t="shared" si="0"/>
        <v>No</v>
      </c>
      <c r="AN10" s="35" t="str">
        <f t="shared" si="0"/>
        <v>No</v>
      </c>
      <c r="AO10" s="35" t="str">
        <f t="shared" si="0"/>
        <v>No</v>
      </c>
      <c r="AP10" s="35" t="str">
        <f t="shared" si="0"/>
        <v>No</v>
      </c>
      <c r="AQ10" s="35" t="str">
        <f t="shared" si="0"/>
        <v>No</v>
      </c>
      <c r="AR10" s="35" t="str">
        <f t="shared" si="0"/>
        <v>No</v>
      </c>
      <c r="AS10" s="35" t="str">
        <f t="shared" si="0"/>
        <v>No</v>
      </c>
    </row>
    <row r="11" spans="1:45">
      <c r="B11" s="36" t="str">
        <f>"Preferred (With "&amp;'BCA Summary'!$E$1&amp;" Grant) Benefits"</f>
        <v>Preferred (With BUILD Grant Grant) Benefits</v>
      </c>
      <c r="C11" s="36"/>
      <c r="D11" s="34"/>
      <c r="E11" s="35">
        <f t="shared" ref="E11:AS11" si="1">E7</f>
        <v>0</v>
      </c>
      <c r="F11" s="35">
        <f t="shared" si="1"/>
        <v>0</v>
      </c>
      <c r="G11" s="35">
        <f t="shared" si="1"/>
        <v>0</v>
      </c>
      <c r="H11" s="35" t="str">
        <f t="shared" si="1"/>
        <v>No</v>
      </c>
      <c r="I11" s="35" t="str">
        <f t="shared" si="1"/>
        <v>No</v>
      </c>
      <c r="J11" s="35" t="str">
        <f t="shared" si="1"/>
        <v>No</v>
      </c>
      <c r="K11" s="35" t="str">
        <f t="shared" si="1"/>
        <v>No</v>
      </c>
      <c r="L11" s="35" t="str">
        <f t="shared" si="1"/>
        <v>No</v>
      </c>
      <c r="M11" s="35" t="str">
        <f t="shared" si="1"/>
        <v>No</v>
      </c>
      <c r="N11" s="35" t="str">
        <f t="shared" si="1"/>
        <v>No</v>
      </c>
      <c r="O11" s="35" t="str">
        <f t="shared" si="1"/>
        <v>No</v>
      </c>
      <c r="P11" s="35" t="str">
        <f t="shared" si="1"/>
        <v>No</v>
      </c>
      <c r="Q11" s="35" t="str">
        <f t="shared" si="1"/>
        <v>No</v>
      </c>
      <c r="R11" s="35" t="str">
        <f t="shared" si="1"/>
        <v>No</v>
      </c>
      <c r="S11" s="35" t="str">
        <f t="shared" si="1"/>
        <v>No</v>
      </c>
      <c r="T11" s="35" t="str">
        <f t="shared" si="1"/>
        <v>Yes</v>
      </c>
      <c r="U11" s="35" t="str">
        <f t="shared" si="1"/>
        <v>Yes</v>
      </c>
      <c r="V11" s="35" t="str">
        <f t="shared" si="1"/>
        <v>Yes</v>
      </c>
      <c r="W11" s="35" t="str">
        <f t="shared" si="1"/>
        <v>Yes</v>
      </c>
      <c r="X11" s="35" t="str">
        <f t="shared" si="1"/>
        <v>Yes</v>
      </c>
      <c r="Y11" s="35" t="str">
        <f t="shared" si="1"/>
        <v>Yes</v>
      </c>
      <c r="Z11" s="35" t="str">
        <f t="shared" si="1"/>
        <v>Yes</v>
      </c>
      <c r="AA11" s="35" t="str">
        <f t="shared" si="1"/>
        <v>Yes</v>
      </c>
      <c r="AB11" s="35" t="str">
        <f t="shared" si="1"/>
        <v>Yes</v>
      </c>
      <c r="AC11" s="35" t="str">
        <f t="shared" si="1"/>
        <v>Yes</v>
      </c>
      <c r="AD11" s="35" t="str">
        <f t="shared" si="1"/>
        <v>Yes</v>
      </c>
      <c r="AE11" s="35" t="str">
        <f t="shared" si="1"/>
        <v>Yes</v>
      </c>
      <c r="AF11" s="35" t="str">
        <f t="shared" si="1"/>
        <v>Yes</v>
      </c>
      <c r="AG11" s="35" t="str">
        <f t="shared" si="1"/>
        <v>Yes</v>
      </c>
      <c r="AH11" s="35" t="str">
        <f t="shared" si="1"/>
        <v>Yes</v>
      </c>
      <c r="AI11" s="35" t="str">
        <f t="shared" si="1"/>
        <v>Yes</v>
      </c>
      <c r="AJ11" s="35" t="str">
        <f t="shared" si="1"/>
        <v>Yes</v>
      </c>
      <c r="AK11" s="35" t="str">
        <f t="shared" si="1"/>
        <v>Yes</v>
      </c>
      <c r="AL11" s="35" t="str">
        <f t="shared" si="1"/>
        <v>Yes</v>
      </c>
      <c r="AM11" s="35" t="str">
        <f t="shared" si="1"/>
        <v>Yes</v>
      </c>
      <c r="AN11" s="35" t="str">
        <f t="shared" si="1"/>
        <v>Yes</v>
      </c>
      <c r="AO11" s="35" t="str">
        <f t="shared" si="1"/>
        <v>Yes</v>
      </c>
      <c r="AP11" s="35" t="str">
        <f t="shared" si="1"/>
        <v>Yes</v>
      </c>
      <c r="AQ11" s="35" t="str">
        <f t="shared" si="1"/>
        <v>Yes</v>
      </c>
      <c r="AR11" s="35" t="str">
        <f t="shared" si="1"/>
        <v>Yes</v>
      </c>
      <c r="AS11" s="35" t="str">
        <f t="shared" si="1"/>
        <v>Yes</v>
      </c>
    </row>
    <row r="12" spans="1:45">
      <c r="B12" s="36"/>
      <c r="C12" s="36"/>
      <c r="D12" s="34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</row>
    <row r="13" spans="1:45">
      <c r="A13" s="23"/>
      <c r="B13" s="89" t="str">
        <f>"BASELINE (No "&amp;'BCA Summary'!E1&amp;") total annual train delay at crossings, hrs"</f>
        <v>BASELINE (No BUILD Grant) total annual train delay at crossings, hrs</v>
      </c>
      <c r="E13" s="79">
        <f t="shared" ref="E13:AS13" si="2">($H$35+$H$39)*$E$23</f>
        <v>544.33758314855868</v>
      </c>
      <c r="F13" s="79">
        <f t="shared" si="2"/>
        <v>544.33758314855868</v>
      </c>
      <c r="G13" s="79">
        <f t="shared" si="2"/>
        <v>544.33758314855868</v>
      </c>
      <c r="H13" s="79">
        <f t="shared" si="2"/>
        <v>544.33758314855868</v>
      </c>
      <c r="I13" s="79">
        <f t="shared" si="2"/>
        <v>544.33758314855868</v>
      </c>
      <c r="J13" s="79">
        <f t="shared" si="2"/>
        <v>544.33758314855868</v>
      </c>
      <c r="K13" s="79">
        <f t="shared" si="2"/>
        <v>544.33758314855868</v>
      </c>
      <c r="L13" s="79">
        <f t="shared" si="2"/>
        <v>544.33758314855868</v>
      </c>
      <c r="M13" s="79">
        <f t="shared" si="2"/>
        <v>544.33758314855868</v>
      </c>
      <c r="N13" s="79">
        <f t="shared" si="2"/>
        <v>544.33758314855868</v>
      </c>
      <c r="O13" s="79">
        <f t="shared" si="2"/>
        <v>544.33758314855868</v>
      </c>
      <c r="P13" s="79">
        <f t="shared" si="2"/>
        <v>544.33758314855868</v>
      </c>
      <c r="Q13" s="79">
        <f t="shared" si="2"/>
        <v>544.33758314855868</v>
      </c>
      <c r="R13" s="79">
        <f t="shared" si="2"/>
        <v>544.33758314855868</v>
      </c>
      <c r="S13" s="79">
        <f t="shared" si="2"/>
        <v>544.33758314855868</v>
      </c>
      <c r="T13" s="79">
        <f t="shared" si="2"/>
        <v>544.33758314855868</v>
      </c>
      <c r="U13" s="79">
        <f t="shared" si="2"/>
        <v>544.33758314855868</v>
      </c>
      <c r="V13" s="79">
        <f t="shared" si="2"/>
        <v>544.33758314855868</v>
      </c>
      <c r="W13" s="79">
        <f t="shared" si="2"/>
        <v>544.33758314855868</v>
      </c>
      <c r="X13" s="79">
        <f t="shared" si="2"/>
        <v>544.33758314855868</v>
      </c>
      <c r="Y13" s="79">
        <f t="shared" si="2"/>
        <v>544.33758314855868</v>
      </c>
      <c r="Z13" s="79">
        <f t="shared" si="2"/>
        <v>544.33758314855868</v>
      </c>
      <c r="AA13" s="79">
        <f t="shared" si="2"/>
        <v>544.33758314855868</v>
      </c>
      <c r="AB13" s="79">
        <f t="shared" si="2"/>
        <v>544.33758314855868</v>
      </c>
      <c r="AC13" s="79">
        <f t="shared" si="2"/>
        <v>544.33758314855868</v>
      </c>
      <c r="AD13" s="79">
        <f t="shared" si="2"/>
        <v>544.33758314855868</v>
      </c>
      <c r="AE13" s="79">
        <f t="shared" si="2"/>
        <v>544.33758314855868</v>
      </c>
      <c r="AF13" s="79">
        <f t="shared" si="2"/>
        <v>544.33758314855868</v>
      </c>
      <c r="AG13" s="79">
        <f t="shared" si="2"/>
        <v>544.33758314855868</v>
      </c>
      <c r="AH13" s="79">
        <f t="shared" si="2"/>
        <v>544.33758314855868</v>
      </c>
      <c r="AI13" s="79">
        <f t="shared" si="2"/>
        <v>544.33758314855868</v>
      </c>
      <c r="AJ13" s="79">
        <f t="shared" si="2"/>
        <v>544.33758314855868</v>
      </c>
      <c r="AK13" s="79">
        <f t="shared" si="2"/>
        <v>544.33758314855868</v>
      </c>
      <c r="AL13" s="79">
        <f t="shared" si="2"/>
        <v>544.33758314855868</v>
      </c>
      <c r="AM13" s="79">
        <f t="shared" si="2"/>
        <v>544.33758314855868</v>
      </c>
      <c r="AN13" s="79">
        <f t="shared" si="2"/>
        <v>544.33758314855868</v>
      </c>
      <c r="AO13" s="79">
        <f t="shared" si="2"/>
        <v>544.33758314855868</v>
      </c>
      <c r="AP13" s="79">
        <f t="shared" si="2"/>
        <v>544.33758314855868</v>
      </c>
      <c r="AQ13" s="79">
        <f t="shared" si="2"/>
        <v>544.33758314855868</v>
      </c>
      <c r="AR13" s="79">
        <f t="shared" si="2"/>
        <v>544.33758314855868</v>
      </c>
      <c r="AS13" s="79">
        <f t="shared" si="2"/>
        <v>544.33758314855868</v>
      </c>
    </row>
    <row r="14" spans="1:45">
      <c r="A14" s="23"/>
      <c r="B14" s="26" t="str">
        <f>"PREFERRED (With "&amp;'BCA Summary'!E1&amp;") total annual train delay at crossing, hrs"</f>
        <v>PREFERRED (With BUILD Grant) total annual train delay at crossing, hrs</v>
      </c>
      <c r="E14" s="79">
        <f t="shared" ref="E14:AS14" si="3">($H$36+$H$40)*$E$23</f>
        <v>318.34090909090912</v>
      </c>
      <c r="F14" s="79">
        <f t="shared" si="3"/>
        <v>318.34090909090912</v>
      </c>
      <c r="G14" s="79">
        <f t="shared" si="3"/>
        <v>318.34090909090912</v>
      </c>
      <c r="H14" s="79">
        <f t="shared" si="3"/>
        <v>318.34090909090912</v>
      </c>
      <c r="I14" s="79">
        <f t="shared" si="3"/>
        <v>318.34090909090912</v>
      </c>
      <c r="J14" s="79">
        <f t="shared" si="3"/>
        <v>318.34090909090912</v>
      </c>
      <c r="K14" s="79">
        <f t="shared" si="3"/>
        <v>318.34090909090912</v>
      </c>
      <c r="L14" s="79">
        <f t="shared" si="3"/>
        <v>318.34090909090912</v>
      </c>
      <c r="M14" s="79">
        <f t="shared" si="3"/>
        <v>318.34090909090912</v>
      </c>
      <c r="N14" s="79">
        <f t="shared" si="3"/>
        <v>318.34090909090912</v>
      </c>
      <c r="O14" s="79">
        <f t="shared" si="3"/>
        <v>318.34090909090912</v>
      </c>
      <c r="P14" s="79">
        <f t="shared" si="3"/>
        <v>318.34090909090912</v>
      </c>
      <c r="Q14" s="79">
        <f t="shared" si="3"/>
        <v>318.34090909090912</v>
      </c>
      <c r="R14" s="79">
        <f t="shared" si="3"/>
        <v>318.34090909090912</v>
      </c>
      <c r="S14" s="79">
        <f t="shared" si="3"/>
        <v>318.34090909090912</v>
      </c>
      <c r="T14" s="79">
        <f t="shared" si="3"/>
        <v>318.34090909090912</v>
      </c>
      <c r="U14" s="79">
        <f t="shared" si="3"/>
        <v>318.34090909090912</v>
      </c>
      <c r="V14" s="79">
        <f t="shared" si="3"/>
        <v>318.34090909090912</v>
      </c>
      <c r="W14" s="79">
        <f t="shared" si="3"/>
        <v>318.34090909090912</v>
      </c>
      <c r="X14" s="79">
        <f t="shared" si="3"/>
        <v>318.34090909090912</v>
      </c>
      <c r="Y14" s="79">
        <f t="shared" si="3"/>
        <v>318.34090909090912</v>
      </c>
      <c r="Z14" s="79">
        <f t="shared" si="3"/>
        <v>318.34090909090912</v>
      </c>
      <c r="AA14" s="79">
        <f t="shared" si="3"/>
        <v>318.34090909090912</v>
      </c>
      <c r="AB14" s="79">
        <f t="shared" si="3"/>
        <v>318.34090909090912</v>
      </c>
      <c r="AC14" s="79">
        <f t="shared" si="3"/>
        <v>318.34090909090912</v>
      </c>
      <c r="AD14" s="79">
        <f t="shared" si="3"/>
        <v>318.34090909090912</v>
      </c>
      <c r="AE14" s="79">
        <f t="shared" si="3"/>
        <v>318.34090909090912</v>
      </c>
      <c r="AF14" s="79">
        <f t="shared" si="3"/>
        <v>318.34090909090912</v>
      </c>
      <c r="AG14" s="79">
        <f t="shared" si="3"/>
        <v>318.34090909090912</v>
      </c>
      <c r="AH14" s="79">
        <f t="shared" si="3"/>
        <v>318.34090909090912</v>
      </c>
      <c r="AI14" s="79">
        <f t="shared" si="3"/>
        <v>318.34090909090912</v>
      </c>
      <c r="AJ14" s="79">
        <f t="shared" si="3"/>
        <v>318.34090909090912</v>
      </c>
      <c r="AK14" s="79">
        <f t="shared" si="3"/>
        <v>318.34090909090912</v>
      </c>
      <c r="AL14" s="79">
        <f t="shared" si="3"/>
        <v>318.34090909090912</v>
      </c>
      <c r="AM14" s="79">
        <f t="shared" si="3"/>
        <v>318.34090909090912</v>
      </c>
      <c r="AN14" s="79">
        <f t="shared" si="3"/>
        <v>318.34090909090912</v>
      </c>
      <c r="AO14" s="79">
        <f t="shared" si="3"/>
        <v>318.34090909090912</v>
      </c>
      <c r="AP14" s="79">
        <f t="shared" si="3"/>
        <v>318.34090909090912</v>
      </c>
      <c r="AQ14" s="79">
        <f t="shared" si="3"/>
        <v>318.34090909090912</v>
      </c>
      <c r="AR14" s="79">
        <f t="shared" si="3"/>
        <v>318.34090909090912</v>
      </c>
      <c r="AS14" s="79">
        <f t="shared" si="3"/>
        <v>318.34090909090912</v>
      </c>
    </row>
    <row r="15" spans="1:45">
      <c r="B15" s="36"/>
      <c r="C15" s="36"/>
      <c r="D15" s="34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</row>
    <row r="16" spans="1:45">
      <c r="B16" s="36"/>
      <c r="C16" s="36"/>
      <c r="D16" s="34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</row>
    <row r="17" spans="1:45">
      <c r="A17" s="89" t="str">
        <f>"BASELINE (No "&amp;'BCA Summary'!E1&amp;") total annual train delay at crossings, hrs"</f>
        <v>BASELINE (No BUILD Grant) total annual train delay at crossings, hrs</v>
      </c>
      <c r="B17" s="38"/>
      <c r="C17" s="38"/>
      <c r="D17" s="38"/>
      <c r="E17" s="78">
        <f>E13</f>
        <v>544.33758314855868</v>
      </c>
      <c r="F17" s="78">
        <f t="shared" ref="F17:AS17" si="4">F13</f>
        <v>544.33758314855868</v>
      </c>
      <c r="G17" s="78">
        <f t="shared" si="4"/>
        <v>544.33758314855868</v>
      </c>
      <c r="H17" s="78">
        <f t="shared" si="4"/>
        <v>544.33758314855868</v>
      </c>
      <c r="I17" s="78">
        <f t="shared" si="4"/>
        <v>544.33758314855868</v>
      </c>
      <c r="J17" s="78">
        <f t="shared" si="4"/>
        <v>544.33758314855868</v>
      </c>
      <c r="K17" s="78">
        <f t="shared" si="4"/>
        <v>544.33758314855868</v>
      </c>
      <c r="L17" s="78">
        <f t="shared" si="4"/>
        <v>544.33758314855868</v>
      </c>
      <c r="M17" s="78">
        <f t="shared" si="4"/>
        <v>544.33758314855868</v>
      </c>
      <c r="N17" s="78">
        <f t="shared" si="4"/>
        <v>544.33758314855868</v>
      </c>
      <c r="O17" s="78">
        <f t="shared" si="4"/>
        <v>544.33758314855868</v>
      </c>
      <c r="P17" s="78">
        <f t="shared" si="4"/>
        <v>544.33758314855868</v>
      </c>
      <c r="Q17" s="78">
        <f t="shared" si="4"/>
        <v>544.33758314855868</v>
      </c>
      <c r="R17" s="78">
        <f t="shared" si="4"/>
        <v>544.33758314855868</v>
      </c>
      <c r="S17" s="78">
        <f t="shared" si="4"/>
        <v>544.33758314855868</v>
      </c>
      <c r="T17" s="78">
        <f t="shared" si="4"/>
        <v>544.33758314855868</v>
      </c>
      <c r="U17" s="78">
        <f t="shared" si="4"/>
        <v>544.33758314855868</v>
      </c>
      <c r="V17" s="78">
        <f t="shared" si="4"/>
        <v>544.33758314855868</v>
      </c>
      <c r="W17" s="78">
        <f t="shared" si="4"/>
        <v>544.33758314855868</v>
      </c>
      <c r="X17" s="78">
        <f t="shared" si="4"/>
        <v>544.33758314855868</v>
      </c>
      <c r="Y17" s="78">
        <f t="shared" si="4"/>
        <v>544.33758314855868</v>
      </c>
      <c r="Z17" s="78">
        <f t="shared" si="4"/>
        <v>544.33758314855868</v>
      </c>
      <c r="AA17" s="78">
        <f t="shared" si="4"/>
        <v>544.33758314855868</v>
      </c>
      <c r="AB17" s="78">
        <f t="shared" si="4"/>
        <v>544.33758314855868</v>
      </c>
      <c r="AC17" s="78">
        <f t="shared" si="4"/>
        <v>544.33758314855868</v>
      </c>
      <c r="AD17" s="78">
        <f t="shared" si="4"/>
        <v>544.33758314855868</v>
      </c>
      <c r="AE17" s="78">
        <f t="shared" si="4"/>
        <v>544.33758314855868</v>
      </c>
      <c r="AF17" s="78">
        <f t="shared" si="4"/>
        <v>544.33758314855868</v>
      </c>
      <c r="AG17" s="78">
        <f t="shared" si="4"/>
        <v>544.33758314855868</v>
      </c>
      <c r="AH17" s="78">
        <f t="shared" si="4"/>
        <v>544.33758314855868</v>
      </c>
      <c r="AI17" s="78">
        <f t="shared" si="4"/>
        <v>544.33758314855868</v>
      </c>
      <c r="AJ17" s="78">
        <f t="shared" si="4"/>
        <v>544.33758314855868</v>
      </c>
      <c r="AK17" s="78">
        <f t="shared" si="4"/>
        <v>544.33758314855868</v>
      </c>
      <c r="AL17" s="78">
        <f t="shared" si="4"/>
        <v>544.33758314855868</v>
      </c>
      <c r="AM17" s="78">
        <f t="shared" si="4"/>
        <v>544.33758314855868</v>
      </c>
      <c r="AN17" s="78">
        <f t="shared" si="4"/>
        <v>544.33758314855868</v>
      </c>
      <c r="AO17" s="78">
        <f t="shared" si="4"/>
        <v>544.33758314855868</v>
      </c>
      <c r="AP17" s="78">
        <f t="shared" si="4"/>
        <v>544.33758314855868</v>
      </c>
      <c r="AQ17" s="78">
        <f t="shared" si="4"/>
        <v>544.33758314855868</v>
      </c>
      <c r="AR17" s="78">
        <f t="shared" si="4"/>
        <v>544.33758314855868</v>
      </c>
      <c r="AS17" s="78">
        <f t="shared" si="4"/>
        <v>544.33758314855868</v>
      </c>
    </row>
    <row r="18" spans="1:45">
      <c r="A18" s="26" t="str">
        <f>"PREFERRED (With "&amp;'BCA Summary'!E1&amp;") total annual train delay at crossing, hrs"</f>
        <v>PREFERRED (With BUILD Grant) total annual train delay at crossing, hrs</v>
      </c>
      <c r="E18" s="80">
        <f>IF(E11="Yes",E14,E17)</f>
        <v>544.33758314855868</v>
      </c>
      <c r="F18" s="80">
        <f t="shared" ref="F18:AS18" si="5">IF(F11="Yes",F14,F17)</f>
        <v>544.33758314855868</v>
      </c>
      <c r="G18" s="80">
        <f t="shared" si="5"/>
        <v>544.33758314855868</v>
      </c>
      <c r="H18" s="80">
        <f t="shared" si="5"/>
        <v>544.33758314855868</v>
      </c>
      <c r="I18" s="80">
        <f t="shared" si="5"/>
        <v>544.33758314855868</v>
      </c>
      <c r="J18" s="80">
        <f t="shared" si="5"/>
        <v>544.33758314855868</v>
      </c>
      <c r="K18" s="80">
        <f t="shared" si="5"/>
        <v>544.33758314855868</v>
      </c>
      <c r="L18" s="80">
        <f t="shared" si="5"/>
        <v>544.33758314855868</v>
      </c>
      <c r="M18" s="80">
        <f t="shared" si="5"/>
        <v>544.33758314855868</v>
      </c>
      <c r="N18" s="80">
        <f t="shared" si="5"/>
        <v>544.33758314855868</v>
      </c>
      <c r="O18" s="80">
        <f t="shared" si="5"/>
        <v>544.33758314855868</v>
      </c>
      <c r="P18" s="80">
        <f t="shared" si="5"/>
        <v>544.33758314855868</v>
      </c>
      <c r="Q18" s="80">
        <f t="shared" si="5"/>
        <v>544.33758314855868</v>
      </c>
      <c r="R18" s="80">
        <f t="shared" si="5"/>
        <v>544.33758314855868</v>
      </c>
      <c r="S18" s="80">
        <f t="shared" si="5"/>
        <v>544.33758314855868</v>
      </c>
      <c r="T18" s="80">
        <f t="shared" si="5"/>
        <v>318.34090909090912</v>
      </c>
      <c r="U18" s="80">
        <f t="shared" si="5"/>
        <v>318.34090909090912</v>
      </c>
      <c r="V18" s="80">
        <f t="shared" si="5"/>
        <v>318.34090909090912</v>
      </c>
      <c r="W18" s="80">
        <f t="shared" si="5"/>
        <v>318.34090909090912</v>
      </c>
      <c r="X18" s="80">
        <f t="shared" si="5"/>
        <v>318.34090909090912</v>
      </c>
      <c r="Y18" s="80">
        <f t="shared" si="5"/>
        <v>318.34090909090912</v>
      </c>
      <c r="Z18" s="80">
        <f t="shared" si="5"/>
        <v>318.34090909090912</v>
      </c>
      <c r="AA18" s="80">
        <f t="shared" si="5"/>
        <v>318.34090909090912</v>
      </c>
      <c r="AB18" s="80">
        <f t="shared" si="5"/>
        <v>318.34090909090912</v>
      </c>
      <c r="AC18" s="80">
        <f t="shared" si="5"/>
        <v>318.34090909090912</v>
      </c>
      <c r="AD18" s="80">
        <f t="shared" si="5"/>
        <v>318.34090909090912</v>
      </c>
      <c r="AE18" s="80">
        <f t="shared" si="5"/>
        <v>318.34090909090912</v>
      </c>
      <c r="AF18" s="80">
        <f t="shared" si="5"/>
        <v>318.34090909090912</v>
      </c>
      <c r="AG18" s="80">
        <f t="shared" si="5"/>
        <v>318.34090909090912</v>
      </c>
      <c r="AH18" s="80">
        <f t="shared" si="5"/>
        <v>318.34090909090912</v>
      </c>
      <c r="AI18" s="80">
        <f t="shared" si="5"/>
        <v>318.34090909090912</v>
      </c>
      <c r="AJ18" s="80">
        <f t="shared" si="5"/>
        <v>318.34090909090912</v>
      </c>
      <c r="AK18" s="80">
        <f t="shared" si="5"/>
        <v>318.34090909090912</v>
      </c>
      <c r="AL18" s="80">
        <f t="shared" si="5"/>
        <v>318.34090909090912</v>
      </c>
      <c r="AM18" s="80">
        <f t="shared" si="5"/>
        <v>318.34090909090912</v>
      </c>
      <c r="AN18" s="80">
        <f t="shared" si="5"/>
        <v>318.34090909090912</v>
      </c>
      <c r="AO18" s="80">
        <f t="shared" si="5"/>
        <v>318.34090909090912</v>
      </c>
      <c r="AP18" s="80">
        <f t="shared" si="5"/>
        <v>318.34090909090912</v>
      </c>
      <c r="AQ18" s="80">
        <f t="shared" si="5"/>
        <v>318.34090909090912</v>
      </c>
      <c r="AR18" s="80">
        <f t="shared" si="5"/>
        <v>318.34090909090912</v>
      </c>
      <c r="AS18" s="80">
        <f t="shared" si="5"/>
        <v>318.34090909090912</v>
      </c>
    </row>
    <row r="19" spans="1:45">
      <c r="A19" s="39" t="s">
        <v>30</v>
      </c>
      <c r="B19" s="40"/>
      <c r="C19" s="40"/>
      <c r="D19" s="40"/>
      <c r="E19" s="71">
        <f>E17-E18</f>
        <v>0</v>
      </c>
      <c r="F19" s="71">
        <f t="shared" ref="F19:AS19" si="6">F17-F18</f>
        <v>0</v>
      </c>
      <c r="G19" s="71">
        <f t="shared" si="6"/>
        <v>0</v>
      </c>
      <c r="H19" s="71">
        <f t="shared" si="6"/>
        <v>0</v>
      </c>
      <c r="I19" s="71">
        <f t="shared" si="6"/>
        <v>0</v>
      </c>
      <c r="J19" s="71">
        <f t="shared" si="6"/>
        <v>0</v>
      </c>
      <c r="K19" s="71">
        <f t="shared" si="6"/>
        <v>0</v>
      </c>
      <c r="L19" s="71">
        <f t="shared" si="6"/>
        <v>0</v>
      </c>
      <c r="M19" s="71">
        <f t="shared" si="6"/>
        <v>0</v>
      </c>
      <c r="N19" s="71">
        <f t="shared" si="6"/>
        <v>0</v>
      </c>
      <c r="O19" s="71">
        <f t="shared" si="6"/>
        <v>0</v>
      </c>
      <c r="P19" s="71">
        <f t="shared" si="6"/>
        <v>0</v>
      </c>
      <c r="Q19" s="71">
        <f t="shared" si="6"/>
        <v>0</v>
      </c>
      <c r="R19" s="71">
        <f t="shared" si="6"/>
        <v>0</v>
      </c>
      <c r="S19" s="71">
        <f t="shared" si="6"/>
        <v>0</v>
      </c>
      <c r="T19" s="71">
        <f t="shared" si="6"/>
        <v>225.99667405764956</v>
      </c>
      <c r="U19" s="71">
        <f t="shared" si="6"/>
        <v>225.99667405764956</v>
      </c>
      <c r="V19" s="71">
        <f t="shared" si="6"/>
        <v>225.99667405764956</v>
      </c>
      <c r="W19" s="71">
        <f t="shared" si="6"/>
        <v>225.99667405764956</v>
      </c>
      <c r="X19" s="71">
        <f t="shared" si="6"/>
        <v>225.99667405764956</v>
      </c>
      <c r="Y19" s="71">
        <f t="shared" si="6"/>
        <v>225.99667405764956</v>
      </c>
      <c r="Z19" s="71">
        <f t="shared" si="6"/>
        <v>225.99667405764956</v>
      </c>
      <c r="AA19" s="71">
        <f t="shared" si="6"/>
        <v>225.99667405764956</v>
      </c>
      <c r="AB19" s="71">
        <f t="shared" si="6"/>
        <v>225.99667405764956</v>
      </c>
      <c r="AC19" s="71">
        <f t="shared" si="6"/>
        <v>225.99667405764956</v>
      </c>
      <c r="AD19" s="71">
        <f t="shared" si="6"/>
        <v>225.99667405764956</v>
      </c>
      <c r="AE19" s="71">
        <f t="shared" si="6"/>
        <v>225.99667405764956</v>
      </c>
      <c r="AF19" s="71">
        <f t="shared" si="6"/>
        <v>225.99667405764956</v>
      </c>
      <c r="AG19" s="71">
        <f t="shared" si="6"/>
        <v>225.99667405764956</v>
      </c>
      <c r="AH19" s="71">
        <f t="shared" si="6"/>
        <v>225.99667405764956</v>
      </c>
      <c r="AI19" s="71">
        <f t="shared" si="6"/>
        <v>225.99667405764956</v>
      </c>
      <c r="AJ19" s="71">
        <f t="shared" si="6"/>
        <v>225.99667405764956</v>
      </c>
      <c r="AK19" s="71">
        <f t="shared" si="6"/>
        <v>225.99667405764956</v>
      </c>
      <c r="AL19" s="71">
        <f t="shared" si="6"/>
        <v>225.99667405764956</v>
      </c>
      <c r="AM19" s="71">
        <f t="shared" si="6"/>
        <v>225.99667405764956</v>
      </c>
      <c r="AN19" s="71">
        <f t="shared" si="6"/>
        <v>225.99667405764956</v>
      </c>
      <c r="AO19" s="71">
        <f t="shared" si="6"/>
        <v>225.99667405764956</v>
      </c>
      <c r="AP19" s="71">
        <f t="shared" si="6"/>
        <v>225.99667405764956</v>
      </c>
      <c r="AQ19" s="71">
        <f t="shared" si="6"/>
        <v>225.99667405764956</v>
      </c>
      <c r="AR19" s="71">
        <f t="shared" si="6"/>
        <v>225.99667405764956</v>
      </c>
      <c r="AS19" s="71">
        <f t="shared" si="6"/>
        <v>225.99667405764956</v>
      </c>
    </row>
    <row r="20" spans="1:45">
      <c r="A20" s="23"/>
      <c r="B20"/>
      <c r="C20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S20" s="22"/>
    </row>
    <row r="21" spans="1:45">
      <c r="D21"/>
    </row>
    <row r="22" spans="1:45" s="22" customFormat="1" ht="16" thickBot="1">
      <c r="A22" s="32" t="s">
        <v>27</v>
      </c>
      <c r="B22" s="32"/>
      <c r="C22" s="32"/>
      <c r="D22" s="3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6"/>
      <c r="V22" s="46"/>
      <c r="W22" s="46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22" customFormat="1" ht="14">
      <c r="A23" t="s">
        <v>286</v>
      </c>
      <c r="B23" s="1"/>
      <c r="C23" s="1"/>
      <c r="D23"/>
      <c r="E23" s="1">
        <f>'Summary of Benefits'!D168</f>
        <v>345</v>
      </c>
      <c r="F23" s="110" t="s">
        <v>32</v>
      </c>
      <c r="G23"/>
      <c r="H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22" customFormat="1">
      <c r="A24" s="1"/>
      <c r="B24" s="1"/>
      <c r="C24" s="1"/>
      <c r="D24" s="1"/>
      <c r="E24" s="1"/>
      <c r="F24" s="1"/>
      <c r="G24" s="1"/>
      <c r="H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22" customFormat="1" ht="16" thickBot="1">
      <c r="A25" s="32" t="s">
        <v>287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22" customFormat="1" ht="56">
      <c r="A26" s="1" t="s">
        <v>64</v>
      </c>
      <c r="B26" s="1"/>
      <c r="C26" s="1"/>
      <c r="D26" s="1"/>
      <c r="E26" s="197" t="s">
        <v>290</v>
      </c>
      <c r="F26" s="197" t="s">
        <v>155</v>
      </c>
      <c r="G26" s="197" t="s">
        <v>151</v>
      </c>
      <c r="H26" s="197" t="s">
        <v>152</v>
      </c>
      <c r="I26" s="197" t="s">
        <v>153</v>
      </c>
      <c r="J26" s="197" t="s">
        <v>154</v>
      </c>
      <c r="K26" s="197" t="s">
        <v>157</v>
      </c>
      <c r="L26" s="197" t="s">
        <v>158</v>
      </c>
      <c r="M26" s="197" t="s">
        <v>158</v>
      </c>
      <c r="N26" s="197" t="s">
        <v>159</v>
      </c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22" customFormat="1">
      <c r="A27" s="1"/>
      <c r="B27" s="1" t="s">
        <v>81</v>
      </c>
      <c r="C27" s="1"/>
      <c r="D27" s="1"/>
      <c r="E27" s="33">
        <v>11050</v>
      </c>
      <c r="F27" s="33">
        <v>16750</v>
      </c>
      <c r="G27" s="94">
        <f>$F$39</f>
        <v>20.5</v>
      </c>
      <c r="H27" s="94">
        <f>E28/(G27*5280/60)</f>
        <v>4.434589800443459</v>
      </c>
      <c r="I27" s="94">
        <f>E39</f>
        <v>11.2</v>
      </c>
      <c r="J27" s="198">
        <f>H27*I27*(1/60)</f>
        <v>0.82779009608277898</v>
      </c>
      <c r="K27" s="96">
        <f>J27/24</f>
        <v>3.4491254003449122E-2</v>
      </c>
      <c r="L27" s="94">
        <f>E27*K27*(J27/2)</f>
        <v>157.74713952205704</v>
      </c>
      <c r="M27" s="94">
        <f>F27*K27*(J27/2)</f>
        <v>239.11896714881948</v>
      </c>
      <c r="N27" s="199">
        <f>Traffic!D133</f>
        <v>2.6935768551914666E-2</v>
      </c>
      <c r="O27" t="s">
        <v>238</v>
      </c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22" customFormat="1" ht="14">
      <c r="A28" s="1"/>
      <c r="B28" s="1"/>
      <c r="C28" s="1"/>
      <c r="D28" s="200" t="s">
        <v>296</v>
      </c>
      <c r="E28" s="204">
        <v>8000</v>
      </c>
      <c r="F28" s="201" t="s">
        <v>297</v>
      </c>
      <c r="G28" s="202" t="s">
        <v>298</v>
      </c>
      <c r="H28" s="25"/>
      <c r="I28" s="25"/>
      <c r="J28" s="25"/>
      <c r="K28" s="25"/>
      <c r="L28" s="25"/>
      <c r="M28" s="200" t="s">
        <v>299</v>
      </c>
      <c r="N28" s="183">
        <f>Traffic!D133</f>
        <v>2.6935768551914666E-2</v>
      </c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22" customFormat="1">
      <c r="A29" s="1"/>
      <c r="B29" s="1"/>
      <c r="C29" s="1"/>
      <c r="D29" s="1"/>
      <c r="E29" s="25"/>
      <c r="F29" s="25"/>
      <c r="G29" s="25"/>
      <c r="H29" s="25"/>
      <c r="I29" s="25"/>
      <c r="J29" s="25"/>
      <c r="K29" s="25"/>
      <c r="L29" s="25"/>
      <c r="M29" s="25"/>
      <c r="N29" s="25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22" customFormat="1" ht="15">
      <c r="A30" s="31" t="s">
        <v>300</v>
      </c>
      <c r="B30" s="1"/>
      <c r="C30" s="1"/>
      <c r="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s="22" customFormat="1">
      <c r="A31" t="s">
        <v>301</v>
      </c>
      <c r="B31" s="1"/>
      <c r="C31" s="1"/>
      <c r="D31" s="1"/>
      <c r="E31" s="197"/>
      <c r="F31" s="197"/>
      <c r="G31" s="197"/>
      <c r="H31" s="197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5" s="22" customFormat="1" ht="14">
      <c r="A32"/>
      <c r="B32" s="1" t="s">
        <v>302</v>
      </c>
      <c r="C32" s="1"/>
      <c r="D32" s="1"/>
      <c r="E32" s="169">
        <v>45</v>
      </c>
      <c r="F32" s="22" t="s">
        <v>303</v>
      </c>
      <c r="G32" s="202" t="s">
        <v>298</v>
      </c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s="22" customFormat="1" ht="14">
      <c r="A33" s="1"/>
      <c r="B33" s="1" t="s">
        <v>304</v>
      </c>
      <c r="C33" s="1"/>
      <c r="D33" s="1"/>
      <c r="E33" s="169">
        <v>10</v>
      </c>
      <c r="F33" s="22" t="s">
        <v>303</v>
      </c>
      <c r="G33" s="202" t="s">
        <v>298</v>
      </c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s="22" customFormat="1" ht="42">
      <c r="A34" t="s">
        <v>301</v>
      </c>
      <c r="B34" s="1"/>
      <c r="C34" s="1"/>
      <c r="D34" s="1"/>
      <c r="E34" s="197" t="s">
        <v>153</v>
      </c>
      <c r="F34" s="197" t="s">
        <v>305</v>
      </c>
      <c r="G34" s="197" t="s">
        <v>306</v>
      </c>
      <c r="H34" s="197" t="s">
        <v>307</v>
      </c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s="22" customFormat="1">
      <c r="A35" s="1"/>
      <c r="B35" s="1" t="s">
        <v>81</v>
      </c>
      <c r="C35" s="1"/>
      <c r="D35" s="1"/>
      <c r="E35" s="33">
        <v>1</v>
      </c>
      <c r="F35" s="25">
        <f>E32</f>
        <v>45</v>
      </c>
      <c r="G35" s="94">
        <f>E35*F35</f>
        <v>45</v>
      </c>
      <c r="H35" s="94">
        <f>G35/60</f>
        <v>0.75</v>
      </c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s="22" customFormat="1">
      <c r="A36" s="1"/>
      <c r="B36" t="s">
        <v>295</v>
      </c>
      <c r="C36" s="1"/>
      <c r="D36" s="1"/>
      <c r="E36" s="33">
        <v>1</v>
      </c>
      <c r="F36" s="25">
        <f>F35-E33</f>
        <v>35</v>
      </c>
      <c r="G36" s="94">
        <f>E36*F36</f>
        <v>35</v>
      </c>
      <c r="H36" s="94">
        <f>G36/60</f>
        <v>0.58333333333333337</v>
      </c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8" spans="1:45" s="22" customFormat="1" ht="42">
      <c r="A38" s="1" t="s">
        <v>308</v>
      </c>
      <c r="B38" s="1"/>
      <c r="C38" s="1"/>
      <c r="D38" s="1"/>
      <c r="E38" s="197" t="s">
        <v>153</v>
      </c>
      <c r="F38" s="197" t="s">
        <v>151</v>
      </c>
      <c r="G38" s="197" t="s">
        <v>309</v>
      </c>
      <c r="H38" s="25" t="s">
        <v>310</v>
      </c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s="22" customFormat="1">
      <c r="A39" s="1"/>
      <c r="B39" s="1" t="s">
        <v>81</v>
      </c>
      <c r="C39" s="1"/>
      <c r="D39" s="1"/>
      <c r="E39" s="33">
        <v>11.2</v>
      </c>
      <c r="F39" s="33">
        <v>20.5</v>
      </c>
      <c r="G39" s="94">
        <f>E28/(F39*5280/60)</f>
        <v>4.434589800443459</v>
      </c>
      <c r="H39" s="203">
        <f>(E39*G39)/60</f>
        <v>0.82779009608277898</v>
      </c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s="22" customFormat="1">
      <c r="A40" s="1"/>
      <c r="B40" t="s">
        <v>295</v>
      </c>
      <c r="C40" s="1"/>
      <c r="D40" s="1"/>
      <c r="E40" s="33">
        <v>11.2</v>
      </c>
      <c r="F40" s="33">
        <v>50</v>
      </c>
      <c r="G40" s="94">
        <f>E28/(F40*5280/60)</f>
        <v>1.8181818181818181</v>
      </c>
      <c r="H40" s="203">
        <f>(E40*G40)/60</f>
        <v>0.33939393939393941</v>
      </c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s="22" customFormat="1">
      <c r="A41" s="1"/>
      <c r="B41" s="1"/>
      <c r="C41" s="1"/>
      <c r="D41" s="1"/>
      <c r="G41" s="202" t="s">
        <v>311</v>
      </c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</sheetData>
  <pageMargins left="0.7" right="0.7" top="0.75" bottom="0.75" header="0.3" footer="0.3"/>
  <pageSetup paperSize="3" scale="5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6"/>
  </sheetPr>
  <dimension ref="A1:AS66"/>
  <sheetViews>
    <sheetView topLeftCell="A23" zoomScaleNormal="100" workbookViewId="0">
      <selection activeCell="E43" sqref="E43"/>
    </sheetView>
  </sheetViews>
  <sheetFormatPr baseColWidth="10" defaultColWidth="9.19921875" defaultRowHeight="13"/>
  <cols>
    <col min="1" max="3" width="3.3984375" style="1" customWidth="1"/>
    <col min="4" max="4" width="72.3984375" style="1" customWidth="1"/>
    <col min="5" max="5" width="14.796875" style="22" customWidth="1"/>
    <col min="6" max="6" width="14.19921875" style="22" customWidth="1"/>
    <col min="7" max="25" width="11.3984375" style="22" customWidth="1"/>
    <col min="26" max="26" width="11.3984375" style="22" bestFit="1" customWidth="1"/>
    <col min="27" max="30" width="11.3984375" style="22" customWidth="1"/>
    <col min="31" max="32" width="11.3984375" style="1" customWidth="1"/>
    <col min="33" max="45" width="11.3984375" style="1" bestFit="1" customWidth="1"/>
    <col min="46" max="16384" width="9.19921875" style="1"/>
  </cols>
  <sheetData>
    <row r="1" spans="1:45" ht="20" thickBot="1">
      <c r="A1" s="19" t="s">
        <v>80</v>
      </c>
      <c r="B1" s="19"/>
      <c r="C1" s="19"/>
      <c r="D1" s="19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</row>
    <row r="2" spans="1:45" ht="19" thickTop="1" thickBot="1">
      <c r="A2" s="2" t="str">
        <f>'BCA Summary'!A2</f>
        <v>US 85/120th Avenue Grade-Separation and Interchange Project</v>
      </c>
      <c r="B2" s="17"/>
      <c r="C2" s="17"/>
      <c r="D2" s="17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</row>
    <row r="3" spans="1:45" ht="14" thickTop="1">
      <c r="A3" s="23"/>
      <c r="B3" s="23"/>
      <c r="C3" s="23"/>
      <c r="D3" s="23"/>
    </row>
    <row r="4" spans="1:45" s="18" customFormat="1" ht="17">
      <c r="A4" s="24"/>
      <c r="B4" s="24"/>
      <c r="C4" s="24"/>
      <c r="D4" s="24"/>
      <c r="E4" s="150">
        <f>'Summary of Benefits'!E4</f>
        <v>2015</v>
      </c>
      <c r="F4" s="150">
        <f>'Summary of Benefits'!F4</f>
        <v>2016</v>
      </c>
      <c r="G4" s="150">
        <f>'Summary of Benefits'!G4</f>
        <v>2017</v>
      </c>
      <c r="H4" s="150">
        <f>'Summary of Benefits'!H4</f>
        <v>2018</v>
      </c>
      <c r="I4" s="150">
        <f>'Summary of Benefits'!I4</f>
        <v>2019</v>
      </c>
      <c r="J4" s="150">
        <f>'Summary of Benefits'!J4</f>
        <v>2020</v>
      </c>
      <c r="K4" s="150">
        <f>'Summary of Benefits'!K4</f>
        <v>2021</v>
      </c>
      <c r="L4" s="150">
        <f>'Summary of Benefits'!L4</f>
        <v>2022</v>
      </c>
      <c r="M4" s="150">
        <f>'Summary of Benefits'!M4</f>
        <v>2023</v>
      </c>
      <c r="N4" s="150">
        <f>'Summary of Benefits'!N4</f>
        <v>2024</v>
      </c>
      <c r="O4" s="150">
        <f>'Summary of Benefits'!O4</f>
        <v>2025</v>
      </c>
      <c r="P4" s="150">
        <f>'Summary of Benefits'!P4</f>
        <v>2026</v>
      </c>
      <c r="Q4" s="150">
        <f>'Summary of Benefits'!Q4</f>
        <v>2027</v>
      </c>
      <c r="R4" s="150">
        <f>'Summary of Benefits'!R4</f>
        <v>2028</v>
      </c>
      <c r="S4" s="150">
        <f>'Summary of Benefits'!S4</f>
        <v>2029</v>
      </c>
      <c r="T4" s="150">
        <f>'Summary of Benefits'!T4</f>
        <v>2030</v>
      </c>
      <c r="U4" s="150">
        <f>'Summary of Benefits'!U4</f>
        <v>2031</v>
      </c>
      <c r="V4" s="150">
        <f>'Summary of Benefits'!V4</f>
        <v>2032</v>
      </c>
      <c r="W4" s="150">
        <f>'Summary of Benefits'!W4</f>
        <v>2033</v>
      </c>
      <c r="X4" s="150">
        <f>'Summary of Benefits'!X4</f>
        <v>2034</v>
      </c>
      <c r="Y4" s="150">
        <f>'Summary of Benefits'!Y4</f>
        <v>2035</v>
      </c>
      <c r="Z4" s="150">
        <f>'Summary of Benefits'!Z4</f>
        <v>2036</v>
      </c>
      <c r="AA4" s="150">
        <f>'Summary of Benefits'!AA4</f>
        <v>2037</v>
      </c>
      <c r="AB4" s="150">
        <f>'Summary of Benefits'!AB4</f>
        <v>2038</v>
      </c>
      <c r="AC4" s="150">
        <f>'Summary of Benefits'!AC4</f>
        <v>2039</v>
      </c>
      <c r="AD4" s="150">
        <f>'Summary of Benefits'!AD4</f>
        <v>2040</v>
      </c>
      <c r="AE4" s="150">
        <f>'Summary of Benefits'!AE4</f>
        <v>2041</v>
      </c>
      <c r="AF4" s="150">
        <f>'Summary of Benefits'!AF4</f>
        <v>2042</v>
      </c>
      <c r="AG4" s="150">
        <f>'Summary of Benefits'!AG4</f>
        <v>2043</v>
      </c>
      <c r="AH4" s="150">
        <f>'Summary of Benefits'!AH4</f>
        <v>2044</v>
      </c>
      <c r="AI4" s="150">
        <f>'Summary of Benefits'!AI4</f>
        <v>2045</v>
      </c>
      <c r="AJ4" s="150">
        <f>'Summary of Benefits'!AJ4</f>
        <v>2046</v>
      </c>
      <c r="AK4" s="150">
        <f>'Summary of Benefits'!AK4</f>
        <v>2047</v>
      </c>
      <c r="AL4" s="150">
        <f>'Summary of Benefits'!AL4</f>
        <v>2048</v>
      </c>
      <c r="AM4" s="150">
        <f>'Summary of Benefits'!AM4</f>
        <v>2049</v>
      </c>
      <c r="AN4" s="150">
        <f>'Summary of Benefits'!AN4</f>
        <v>2050</v>
      </c>
      <c r="AO4" s="150">
        <f>'Summary of Benefits'!AO4</f>
        <v>2051</v>
      </c>
      <c r="AP4" s="150">
        <f>'Summary of Benefits'!AP4</f>
        <v>2052</v>
      </c>
      <c r="AQ4" s="150">
        <f>'Summary of Benefits'!AQ4</f>
        <v>2053</v>
      </c>
      <c r="AR4" s="150">
        <f>'Summary of Benefits'!AR4</f>
        <v>2054</v>
      </c>
      <c r="AS4" s="150">
        <f>'Summary of Benefits'!AS4</f>
        <v>2055</v>
      </c>
    </row>
    <row r="5" spans="1:45" ht="16" thickBot="1">
      <c r="A5" s="32" t="str">
        <f>'BCA Summary'!A2&amp;" Intersection Delay"</f>
        <v>US 85/120th Avenue Grade-Separation and Interchange Project Intersection Delay</v>
      </c>
      <c r="B5" s="32"/>
      <c r="C5" s="32"/>
      <c r="D5" s="32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</row>
    <row r="6" spans="1:45">
      <c r="B6" s="153" t="str">
        <f>"Baseline (No "&amp;'BCA Summary'!$E$1&amp;" Grant) Benefits"</f>
        <v>Baseline (No BUILD Grant Grant) Benefits</v>
      </c>
      <c r="C6" s="47"/>
      <c r="D6" s="34"/>
      <c r="E6" s="35" t="str">
        <f>'Timeline &amp; Costs'!E$8</f>
        <v>No</v>
      </c>
      <c r="F6" s="35" t="str">
        <f>'Timeline &amp; Costs'!F$8</f>
        <v>No</v>
      </c>
      <c r="G6" s="35" t="str">
        <f>'Timeline &amp; Costs'!G$8</f>
        <v>No</v>
      </c>
      <c r="H6" s="35" t="str">
        <f>'Timeline &amp; Costs'!H$8</f>
        <v>No</v>
      </c>
      <c r="I6" s="35" t="str">
        <f>'Timeline &amp; Costs'!I$8</f>
        <v>No</v>
      </c>
      <c r="J6" s="35" t="str">
        <f>'Timeline &amp; Costs'!J$8</f>
        <v>No</v>
      </c>
      <c r="K6" s="35" t="str">
        <f>'Timeline &amp; Costs'!K$8</f>
        <v>No</v>
      </c>
      <c r="L6" s="35" t="str">
        <f>'Timeline &amp; Costs'!L$8</f>
        <v>No</v>
      </c>
      <c r="M6" s="35" t="str">
        <f>'Timeline &amp; Costs'!M$8</f>
        <v>No</v>
      </c>
      <c r="N6" s="35" t="str">
        <f>'Timeline &amp; Costs'!N$8</f>
        <v>No</v>
      </c>
      <c r="O6" s="35" t="str">
        <f>'Timeline &amp; Costs'!O$8</f>
        <v>No</v>
      </c>
      <c r="P6" s="35" t="str">
        <f>'Timeline &amp; Costs'!P$8</f>
        <v>No</v>
      </c>
      <c r="Q6" s="35" t="str">
        <f>'Timeline &amp; Costs'!Q$8</f>
        <v>No</v>
      </c>
      <c r="R6" s="35" t="str">
        <f>'Timeline &amp; Costs'!R$8</f>
        <v>No</v>
      </c>
      <c r="S6" s="35" t="str">
        <f>'Timeline &amp; Costs'!S$8</f>
        <v>No</v>
      </c>
      <c r="T6" s="35" t="str">
        <f>'Timeline &amp; Costs'!T$8</f>
        <v>No</v>
      </c>
      <c r="U6" s="35" t="str">
        <f>'Timeline &amp; Costs'!U$8</f>
        <v>No</v>
      </c>
      <c r="V6" s="35" t="str">
        <f>'Timeline &amp; Costs'!V$8</f>
        <v>No</v>
      </c>
      <c r="W6" s="35" t="str">
        <f>'Timeline &amp; Costs'!W$8</f>
        <v>No</v>
      </c>
      <c r="X6" s="35" t="str">
        <f>'Timeline &amp; Costs'!X$8</f>
        <v>No</v>
      </c>
      <c r="Y6" s="35" t="str">
        <f>'Timeline &amp; Costs'!Y$8</f>
        <v>No</v>
      </c>
      <c r="Z6" s="35" t="str">
        <f>'Timeline &amp; Costs'!Z$8</f>
        <v>No</v>
      </c>
      <c r="AA6" s="35" t="str">
        <f>'Timeline &amp; Costs'!AA$8</f>
        <v>No</v>
      </c>
      <c r="AB6" s="35" t="str">
        <f>'Timeline &amp; Costs'!AB$8</f>
        <v>No</v>
      </c>
      <c r="AC6" s="35" t="str">
        <f>'Timeline &amp; Costs'!AC$8</f>
        <v>No</v>
      </c>
      <c r="AD6" s="35" t="str">
        <f>'Timeline &amp; Costs'!AD$8</f>
        <v>No</v>
      </c>
      <c r="AE6" s="35" t="str">
        <f>'Timeline &amp; Costs'!AE$8</f>
        <v>No</v>
      </c>
      <c r="AF6" s="35" t="str">
        <f>'Timeline &amp; Costs'!AF$8</f>
        <v>No</v>
      </c>
      <c r="AG6" s="35" t="str">
        <f>'Timeline &amp; Costs'!AG$8</f>
        <v>No</v>
      </c>
      <c r="AH6" s="35" t="str">
        <f>'Timeline &amp; Costs'!AH$8</f>
        <v>No</v>
      </c>
      <c r="AI6" s="35" t="str">
        <f>'Timeline &amp; Costs'!AI$8</f>
        <v>No</v>
      </c>
      <c r="AJ6" s="35" t="str">
        <f>'Timeline &amp; Costs'!AJ$8</f>
        <v>No</v>
      </c>
      <c r="AK6" s="35" t="str">
        <f>'Timeline &amp; Costs'!AK$8</f>
        <v>No</v>
      </c>
      <c r="AL6" s="35" t="str">
        <f>'Timeline &amp; Costs'!AL$8</f>
        <v>No</v>
      </c>
      <c r="AM6" s="35" t="str">
        <f>'Timeline &amp; Costs'!AM$8</f>
        <v>No</v>
      </c>
      <c r="AN6" s="35" t="str">
        <f>'Timeline &amp; Costs'!AN$8</f>
        <v>No</v>
      </c>
      <c r="AO6" s="35" t="str">
        <f>'Timeline &amp; Costs'!AO$8</f>
        <v>No</v>
      </c>
      <c r="AP6" s="35" t="str">
        <f>'Timeline &amp; Costs'!AP$8</f>
        <v>No</v>
      </c>
      <c r="AQ6" s="35" t="str">
        <f>'Timeline &amp; Costs'!AQ$8</f>
        <v>No</v>
      </c>
      <c r="AR6" s="35" t="str">
        <f>'Timeline &amp; Costs'!AR$8</f>
        <v>No</v>
      </c>
      <c r="AS6" s="35" t="str">
        <f>'Timeline &amp; Costs'!AS$8</f>
        <v>No</v>
      </c>
    </row>
    <row r="7" spans="1:45">
      <c r="B7" s="36" t="str">
        <f>"Preferred (With "&amp;'BCA Summary'!$E$1&amp;" Grant) Benefits"</f>
        <v>Preferred (With BUILD Grant Grant) Benefits</v>
      </c>
      <c r="C7" s="36"/>
      <c r="D7" s="34"/>
      <c r="E7" s="35">
        <f>'Timeline &amp; Costs'!E17</f>
        <v>0</v>
      </c>
      <c r="F7" s="35">
        <f>'Timeline &amp; Costs'!F17</f>
        <v>0</v>
      </c>
      <c r="G7" s="35">
        <f>'Timeline &amp; Costs'!G17</f>
        <v>0</v>
      </c>
      <c r="H7" s="35" t="str">
        <f>'Timeline &amp; Costs'!H17</f>
        <v>No</v>
      </c>
      <c r="I7" s="35" t="str">
        <f>'Timeline &amp; Costs'!I17</f>
        <v>No</v>
      </c>
      <c r="J7" s="35" t="str">
        <f>'Timeline &amp; Costs'!J17</f>
        <v>No</v>
      </c>
      <c r="K7" s="35" t="str">
        <f>'Timeline &amp; Costs'!K17</f>
        <v>No</v>
      </c>
      <c r="L7" s="35" t="str">
        <f>'Timeline &amp; Costs'!L17</f>
        <v>No</v>
      </c>
      <c r="M7" s="35" t="str">
        <f>'Timeline &amp; Costs'!M17</f>
        <v>No</v>
      </c>
      <c r="N7" s="35" t="str">
        <f>'Timeline &amp; Costs'!N17</f>
        <v>No</v>
      </c>
      <c r="O7" s="35" t="str">
        <f>'Timeline &amp; Costs'!O17</f>
        <v>No</v>
      </c>
      <c r="P7" s="35" t="str">
        <f>'Timeline &amp; Costs'!P17</f>
        <v>No</v>
      </c>
      <c r="Q7" s="35" t="str">
        <f>'Timeline &amp; Costs'!Q17</f>
        <v>No</v>
      </c>
      <c r="R7" s="35" t="str">
        <f>'Timeline &amp; Costs'!R17</f>
        <v>No</v>
      </c>
      <c r="S7" s="35" t="str">
        <f>'Timeline &amp; Costs'!S17</f>
        <v>No</v>
      </c>
      <c r="T7" s="35" t="str">
        <f>'Timeline &amp; Costs'!T17</f>
        <v>Yes</v>
      </c>
      <c r="U7" s="35" t="str">
        <f>'Timeline &amp; Costs'!U17</f>
        <v>Yes</v>
      </c>
      <c r="V7" s="35" t="str">
        <f>'Timeline &amp; Costs'!V17</f>
        <v>Yes</v>
      </c>
      <c r="W7" s="35" t="str">
        <f>'Timeline &amp; Costs'!W17</f>
        <v>Yes</v>
      </c>
      <c r="X7" s="35" t="str">
        <f>'Timeline &amp; Costs'!X17</f>
        <v>Yes</v>
      </c>
      <c r="Y7" s="35" t="str">
        <f>'Timeline &amp; Costs'!Y17</f>
        <v>Yes</v>
      </c>
      <c r="Z7" s="35" t="str">
        <f>'Timeline &amp; Costs'!Z17</f>
        <v>Yes</v>
      </c>
      <c r="AA7" s="35" t="str">
        <f>'Timeline &amp; Costs'!AA17</f>
        <v>Yes</v>
      </c>
      <c r="AB7" s="35" t="str">
        <f>'Timeline &amp; Costs'!AB17</f>
        <v>Yes</v>
      </c>
      <c r="AC7" s="35" t="str">
        <f>'Timeline &amp; Costs'!AC17</f>
        <v>Yes</v>
      </c>
      <c r="AD7" s="35" t="str">
        <f>'Timeline &amp; Costs'!AD17</f>
        <v>Yes</v>
      </c>
      <c r="AE7" s="35" t="str">
        <f>'Timeline &amp; Costs'!AE17</f>
        <v>Yes</v>
      </c>
      <c r="AF7" s="35" t="str">
        <f>'Timeline &amp; Costs'!AF17</f>
        <v>Yes</v>
      </c>
      <c r="AG7" s="35" t="str">
        <f>'Timeline &amp; Costs'!AG17</f>
        <v>Yes</v>
      </c>
      <c r="AH7" s="35" t="str">
        <f>'Timeline &amp; Costs'!AH17</f>
        <v>Yes</v>
      </c>
      <c r="AI7" s="35" t="str">
        <f>'Timeline &amp; Costs'!AI17</f>
        <v>Yes</v>
      </c>
      <c r="AJ7" s="35" t="str">
        <f>'Timeline &amp; Costs'!AJ17</f>
        <v>Yes</v>
      </c>
      <c r="AK7" s="35" t="str">
        <f>'Timeline &amp; Costs'!AK17</f>
        <v>Yes</v>
      </c>
      <c r="AL7" s="35" t="str">
        <f>'Timeline &amp; Costs'!AL17</f>
        <v>Yes</v>
      </c>
      <c r="AM7" s="35" t="str">
        <f>'Timeline &amp; Costs'!AM17</f>
        <v>Yes</v>
      </c>
      <c r="AN7" s="35" t="str">
        <f>'Timeline &amp; Costs'!AN17</f>
        <v>Yes</v>
      </c>
      <c r="AO7" s="35" t="str">
        <f>'Timeline &amp; Costs'!AO17</f>
        <v>Yes</v>
      </c>
      <c r="AP7" s="35" t="str">
        <f>'Timeline &amp; Costs'!AP17</f>
        <v>Yes</v>
      </c>
      <c r="AQ7" s="35" t="str">
        <f>'Timeline &amp; Costs'!AQ17</f>
        <v>Yes</v>
      </c>
      <c r="AR7" s="35" t="str">
        <f>'Timeline &amp; Costs'!AR17</f>
        <v>Yes</v>
      </c>
      <c r="AS7" s="35" t="str">
        <f>'Timeline &amp; Costs'!AS17</f>
        <v>Yes</v>
      </c>
    </row>
    <row r="8" spans="1:45">
      <c r="B8" s="36"/>
      <c r="C8" s="36"/>
      <c r="D8" s="34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</row>
    <row r="9" spans="1:45">
      <c r="A9" s="37" t="str">
        <f>"BASELINE (No "&amp;'BCA Summary'!$E$1&amp;") total annual truck stopped delay, hrs"</f>
        <v>BASELINE (No BUILD Grant) total annual truck stopped delay, hrs</v>
      </c>
      <c r="B9" s="38"/>
      <c r="C9" s="38"/>
      <c r="D9" s="38"/>
      <c r="E9" s="78">
        <f>Traffic!D122</f>
        <v>4658.6523142117339</v>
      </c>
      <c r="F9" s="78">
        <f>Traffic!E122</f>
        <v>5048.50554278868</v>
      </c>
      <c r="G9" s="78">
        <f>Traffic!F122</f>
        <v>5455.4327416311589</v>
      </c>
      <c r="H9" s="78">
        <f>Traffic!G122</f>
        <v>5879.4339107391725</v>
      </c>
      <c r="I9" s="78">
        <f>Traffic!H122</f>
        <v>6320.5090501127188</v>
      </c>
      <c r="J9" s="78">
        <f>Traffic!I122</f>
        <v>6778.6581597517979</v>
      </c>
      <c r="K9" s="78">
        <f>Traffic!J122</f>
        <v>7253.8812396564108</v>
      </c>
      <c r="L9" s="78">
        <f>Traffic!K122</f>
        <v>7746.1782898265565</v>
      </c>
      <c r="M9" s="78">
        <f>Traffic!L122</f>
        <v>8255.5493102622386</v>
      </c>
      <c r="N9" s="78">
        <f>Traffic!M122</f>
        <v>8781.9943009634535</v>
      </c>
      <c r="O9" s="78">
        <f>Traffic!N122</f>
        <v>9325.5132619302003</v>
      </c>
      <c r="P9" s="78">
        <f>Traffic!O122</f>
        <v>9886.1061931624827</v>
      </c>
      <c r="Q9" s="78">
        <f>Traffic!P122</f>
        <v>10463.773094660297</v>
      </c>
      <c r="R9" s="78">
        <f>Traffic!Q122</f>
        <v>11058.513966423643</v>
      </c>
      <c r="S9" s="78">
        <f>Traffic!R122</f>
        <v>11670.328808452527</v>
      </c>
      <c r="T9" s="78">
        <f>Traffic!S122</f>
        <v>12299.217620746942</v>
      </c>
      <c r="U9" s="78">
        <f>Traffic!T122</f>
        <v>12945.180403306893</v>
      </c>
      <c r="V9" s="78">
        <f>Traffic!U122</f>
        <v>13608.217156132379</v>
      </c>
      <c r="W9" s="78">
        <f>Traffic!V122</f>
        <v>14288.327879223392</v>
      </c>
      <c r="X9" s="78">
        <f>Traffic!W122</f>
        <v>14985.512572579948</v>
      </c>
      <c r="Y9" s="78">
        <f>Traffic!X122</f>
        <v>15699.771236202028</v>
      </c>
      <c r="Z9" s="78">
        <f>Traffic!Y122</f>
        <v>16431.103870089646</v>
      </c>
      <c r="AA9" s="78">
        <f>Traffic!Z122</f>
        <v>17179.510474242797</v>
      </c>
      <c r="AB9" s="78">
        <f>Traffic!AA122</f>
        <v>17944.991048661479</v>
      </c>
      <c r="AC9" s="78">
        <f>Traffic!AB122</f>
        <v>18727.545593345698</v>
      </c>
      <c r="AD9" s="78">
        <f>Traffic!AC122</f>
        <v>19527.174108295447</v>
      </c>
      <c r="AE9" s="78">
        <f>Traffic!AD122</f>
        <v>20343.87659351074</v>
      </c>
      <c r="AF9" s="78">
        <f>Traffic!AE122</f>
        <v>21177.653048991557</v>
      </c>
      <c r="AG9" s="78">
        <f>Traffic!AF122</f>
        <v>22028.503474737914</v>
      </c>
      <c r="AH9" s="78">
        <f>Traffic!AG122</f>
        <v>22896.427870749791</v>
      </c>
      <c r="AI9" s="78">
        <f>Traffic!AH122</f>
        <v>23781.426237027215</v>
      </c>
      <c r="AJ9" s="78">
        <f>Traffic!AI122</f>
        <v>24683.498573570167</v>
      </c>
      <c r="AK9" s="78">
        <f>Traffic!AJ122</f>
        <v>25602.644880378659</v>
      </c>
      <c r="AL9" s="78">
        <f>Traffic!AK122</f>
        <v>26538.865157452678</v>
      </c>
      <c r="AM9" s="78">
        <f>Traffic!AL122</f>
        <v>27492.15940479223</v>
      </c>
      <c r="AN9" s="78">
        <f>Traffic!AM122</f>
        <v>28462.527622397316</v>
      </c>
      <c r="AO9" s="78">
        <f>Traffic!AN122</f>
        <v>29449.969810267943</v>
      </c>
      <c r="AP9" s="78">
        <f>Traffic!AO122</f>
        <v>30454.485968404097</v>
      </c>
      <c r="AQ9" s="78">
        <f>Traffic!AP122</f>
        <v>31476.076096805788</v>
      </c>
      <c r="AR9" s="78">
        <f>Traffic!AQ122</f>
        <v>32514.740195473008</v>
      </c>
      <c r="AS9" s="78">
        <f>Traffic!AR122</f>
        <v>33570.47826440577</v>
      </c>
    </row>
    <row r="10" spans="1:45">
      <c r="A10" s="26" t="str">
        <f>"PREFERRED (With "&amp;'BCA Summary'!$E$1&amp;") total annual truck stopped delay, hrs"</f>
        <v>PREFERRED (With BUILD Grant) total annual truck stopped delay, hrs</v>
      </c>
      <c r="E10" s="80">
        <f>Traffic!D123</f>
        <v>4658.6523142117339</v>
      </c>
      <c r="F10" s="80">
        <f>Traffic!E123</f>
        <v>5048.50554278868</v>
      </c>
      <c r="G10" s="80">
        <f>Traffic!F123</f>
        <v>5455.4327416311589</v>
      </c>
      <c r="H10" s="80">
        <f>Traffic!G123</f>
        <v>5879.4339107391725</v>
      </c>
      <c r="I10" s="80">
        <f>Traffic!H123</f>
        <v>6320.5090501127188</v>
      </c>
      <c r="J10" s="80">
        <f>Traffic!I123</f>
        <v>6778.6581597517979</v>
      </c>
      <c r="K10" s="80">
        <f>Traffic!J123</f>
        <v>7253.8812396564108</v>
      </c>
      <c r="L10" s="80">
        <f>Traffic!K123</f>
        <v>7746.1782898265565</v>
      </c>
      <c r="M10" s="80">
        <f>Traffic!L123</f>
        <v>8255.5493102622386</v>
      </c>
      <c r="N10" s="80">
        <f>Traffic!M123</f>
        <v>8781.9943009634535</v>
      </c>
      <c r="O10" s="80">
        <f>Traffic!N123</f>
        <v>9325.5132619302003</v>
      </c>
      <c r="P10" s="80">
        <f>Traffic!O123</f>
        <v>9886.1061931624827</v>
      </c>
      <c r="Q10" s="80">
        <f>Traffic!P123</f>
        <v>10463.773094660297</v>
      </c>
      <c r="R10" s="80">
        <f>Traffic!Q123</f>
        <v>11058.513966423643</v>
      </c>
      <c r="S10" s="80">
        <f>Traffic!R123</f>
        <v>11670.328808452527</v>
      </c>
      <c r="T10" s="80">
        <f>Traffic!S123</f>
        <v>3188.9477956674668</v>
      </c>
      <c r="U10" s="80">
        <f>Traffic!T123</f>
        <v>3273.2901653623417</v>
      </c>
      <c r="V10" s="80">
        <f>Traffic!U123</f>
        <v>3358.2970324651865</v>
      </c>
      <c r="W10" s="80">
        <f>Traffic!V123</f>
        <v>3443.9683969760035</v>
      </c>
      <c r="X10" s="80">
        <f>Traffic!W123</f>
        <v>3530.3042588947924</v>
      </c>
      <c r="Y10" s="80">
        <f>Traffic!X123</f>
        <v>3617.3046182215508</v>
      </c>
      <c r="Z10" s="80">
        <f>Traffic!Y123</f>
        <v>3704.9694749562823</v>
      </c>
      <c r="AA10" s="80">
        <f>Traffic!Z123</f>
        <v>3793.2988290989842</v>
      </c>
      <c r="AB10" s="80">
        <f>Traffic!AA123</f>
        <v>3882.2926806496575</v>
      </c>
      <c r="AC10" s="80">
        <f>Traffic!AB123</f>
        <v>3971.9510296083035</v>
      </c>
      <c r="AD10" s="80">
        <f>Traffic!AC123</f>
        <v>4062.2738759749195</v>
      </c>
      <c r="AE10" s="80">
        <f>Traffic!AD123</f>
        <v>4153.2612197495073</v>
      </c>
      <c r="AF10" s="80">
        <f>Traffic!AE123</f>
        <v>4244.9130609320673</v>
      </c>
      <c r="AG10" s="80">
        <f>Traffic!AF123</f>
        <v>4337.2293995225964</v>
      </c>
      <c r="AH10" s="80">
        <f>Traffic!AG123</f>
        <v>4430.2102355210991</v>
      </c>
      <c r="AI10" s="80">
        <f>Traffic!AH123</f>
        <v>4523.8555689275718</v>
      </c>
      <c r="AJ10" s="80">
        <f>Traffic!AI123</f>
        <v>4618.1653997420153</v>
      </c>
      <c r="AK10" s="80">
        <f>Traffic!AJ123</f>
        <v>4713.1397279644307</v>
      </c>
      <c r="AL10" s="80">
        <f>Traffic!AK123</f>
        <v>4808.7785535948187</v>
      </c>
      <c r="AM10" s="80">
        <f>Traffic!AL123</f>
        <v>4905.0818766331777</v>
      </c>
      <c r="AN10" s="80">
        <f>Traffic!AM123</f>
        <v>5002.0496970795075</v>
      </c>
      <c r="AO10" s="80">
        <f>Traffic!AN123</f>
        <v>5099.6820149338082</v>
      </c>
      <c r="AP10" s="80">
        <f>Traffic!AO123</f>
        <v>5197.9788301960816</v>
      </c>
      <c r="AQ10" s="80">
        <f>Traffic!AP123</f>
        <v>5296.9401428663241</v>
      </c>
      <c r="AR10" s="80">
        <f>Traffic!AQ123</f>
        <v>5396.5659529445402</v>
      </c>
      <c r="AS10" s="80">
        <f>Traffic!AR123</f>
        <v>5496.8562604307263</v>
      </c>
    </row>
    <row r="11" spans="1:45">
      <c r="A11" s="39" t="s">
        <v>30</v>
      </c>
      <c r="B11" s="40"/>
      <c r="C11" s="40"/>
      <c r="D11" s="40"/>
      <c r="E11" s="71">
        <f>E9-E10</f>
        <v>0</v>
      </c>
      <c r="F11" s="71">
        <f t="shared" ref="F11:AF11" si="0">F9-F10</f>
        <v>0</v>
      </c>
      <c r="G11" s="71">
        <f t="shared" si="0"/>
        <v>0</v>
      </c>
      <c r="H11" s="71">
        <f t="shared" si="0"/>
        <v>0</v>
      </c>
      <c r="I11" s="71">
        <f t="shared" si="0"/>
        <v>0</v>
      </c>
      <c r="J11" s="71">
        <f t="shared" si="0"/>
        <v>0</v>
      </c>
      <c r="K11" s="71">
        <f t="shared" si="0"/>
        <v>0</v>
      </c>
      <c r="L11" s="71">
        <f t="shared" si="0"/>
        <v>0</v>
      </c>
      <c r="M11" s="71">
        <f t="shared" si="0"/>
        <v>0</v>
      </c>
      <c r="N11" s="71">
        <f t="shared" si="0"/>
        <v>0</v>
      </c>
      <c r="O11" s="71">
        <f t="shared" si="0"/>
        <v>0</v>
      </c>
      <c r="P11" s="71">
        <f t="shared" si="0"/>
        <v>0</v>
      </c>
      <c r="Q11" s="71">
        <f t="shared" si="0"/>
        <v>0</v>
      </c>
      <c r="R11" s="71">
        <f t="shared" si="0"/>
        <v>0</v>
      </c>
      <c r="S11" s="71">
        <f t="shared" si="0"/>
        <v>0</v>
      </c>
      <c r="T11" s="71">
        <f t="shared" si="0"/>
        <v>9110.2698250794747</v>
      </c>
      <c r="U11" s="71">
        <f t="shared" si="0"/>
        <v>9671.8902379445517</v>
      </c>
      <c r="V11" s="71">
        <f t="shared" si="0"/>
        <v>10249.920123667192</v>
      </c>
      <c r="W11" s="71">
        <f t="shared" si="0"/>
        <v>10844.35948224739</v>
      </c>
      <c r="X11" s="71">
        <f t="shared" si="0"/>
        <v>11455.208313685156</v>
      </c>
      <c r="Y11" s="71">
        <f t="shared" si="0"/>
        <v>12082.466617980477</v>
      </c>
      <c r="Z11" s="71">
        <f t="shared" si="0"/>
        <v>12726.134395133364</v>
      </c>
      <c r="AA11" s="71">
        <f t="shared" si="0"/>
        <v>13386.211645143812</v>
      </c>
      <c r="AB11" s="71">
        <f t="shared" si="0"/>
        <v>14062.698368011821</v>
      </c>
      <c r="AC11" s="71">
        <f t="shared" si="0"/>
        <v>14755.594563737395</v>
      </c>
      <c r="AD11" s="71">
        <f t="shared" si="0"/>
        <v>15464.900232320528</v>
      </c>
      <c r="AE11" s="71">
        <f t="shared" si="0"/>
        <v>16190.615373761233</v>
      </c>
      <c r="AF11" s="71">
        <f t="shared" si="0"/>
        <v>16932.739988059489</v>
      </c>
      <c r="AG11" s="71">
        <f t="shared" ref="AG11:AH11" si="1">AG9-AG10</f>
        <v>17691.274075215319</v>
      </c>
      <c r="AH11" s="71">
        <f t="shared" si="1"/>
        <v>18466.217635228692</v>
      </c>
      <c r="AI11" s="71">
        <f t="shared" ref="AI11:AR11" si="2">AI9-AI10</f>
        <v>19257.570668099645</v>
      </c>
      <c r="AJ11" s="71">
        <f t="shared" si="2"/>
        <v>20065.333173828152</v>
      </c>
      <c r="AK11" s="71">
        <f t="shared" si="2"/>
        <v>20889.505152414229</v>
      </c>
      <c r="AL11" s="71">
        <f t="shared" si="2"/>
        <v>21730.086603857861</v>
      </c>
      <c r="AM11" s="71">
        <f t="shared" si="2"/>
        <v>22587.077528159054</v>
      </c>
      <c r="AN11" s="71">
        <f t="shared" si="2"/>
        <v>23460.477925317809</v>
      </c>
      <c r="AO11" s="71">
        <f t="shared" si="2"/>
        <v>24350.287795334134</v>
      </c>
      <c r="AP11" s="71">
        <f t="shared" si="2"/>
        <v>25256.507138208013</v>
      </c>
      <c r="AQ11" s="71">
        <f t="shared" si="2"/>
        <v>26179.135953939462</v>
      </c>
      <c r="AR11" s="71">
        <f t="shared" si="2"/>
        <v>27118.174242528468</v>
      </c>
      <c r="AS11" s="71">
        <f t="shared" ref="AS11" si="3">AS9-AS10</f>
        <v>28073.622003975044</v>
      </c>
    </row>
    <row r="12" spans="1:45">
      <c r="A12" s="23"/>
      <c r="B12"/>
      <c r="C1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</row>
    <row r="13" spans="1:45">
      <c r="A13" s="37" t="str">
        <f>"BASELINE (No "&amp;'BCA Summary'!$E$1&amp;") total annual passenger vehicle stopped delay, hrs"</f>
        <v>BASELINE (No BUILD Grant) total annual passenger vehicle stopped delay, hrs</v>
      </c>
      <c r="B13" s="38"/>
      <c r="C13" s="38"/>
      <c r="D13" s="38"/>
      <c r="E13" s="78">
        <f>Traffic!D126</f>
        <v>86259.628935788263</v>
      </c>
      <c r="F13" s="78">
        <f>Traffic!E126</f>
        <v>98102.181957211316</v>
      </c>
      <c r="G13" s="78">
        <f>Traffic!F126</f>
        <v>109927.66100836886</v>
      </c>
      <c r="H13" s="78">
        <f>Traffic!G126</f>
        <v>121736.06608926084</v>
      </c>
      <c r="I13" s="78">
        <f>Traffic!H126</f>
        <v>133527.39719988726</v>
      </c>
      <c r="J13" s="78">
        <f>Traffic!I126</f>
        <v>145301.65434024823</v>
      </c>
      <c r="K13" s="78">
        <f>Traffic!J126</f>
        <v>157058.83751034355</v>
      </c>
      <c r="L13" s="78">
        <f>Traffic!K126</f>
        <v>168798.94671017348</v>
      </c>
      <c r="M13" s="78">
        <f>Traffic!L126</f>
        <v>180521.98193973777</v>
      </c>
      <c r="N13" s="78">
        <f>Traffic!M126</f>
        <v>192227.94319903653</v>
      </c>
      <c r="O13" s="78">
        <f>Traffic!N126</f>
        <v>203916.8304880698</v>
      </c>
      <c r="P13" s="78">
        <f>Traffic!O126</f>
        <v>215588.64380683756</v>
      </c>
      <c r="Q13" s="78">
        <f>Traffic!P126</f>
        <v>227243.38315533969</v>
      </c>
      <c r="R13" s="78">
        <f>Traffic!Q126</f>
        <v>238881.04853357631</v>
      </c>
      <c r="S13" s="78">
        <f>Traffic!R126</f>
        <v>250501.63994154747</v>
      </c>
      <c r="T13" s="78">
        <f>Traffic!S126</f>
        <v>262105.15737925313</v>
      </c>
      <c r="U13" s="78">
        <f>Traffic!T126</f>
        <v>273691.60084669309</v>
      </c>
      <c r="V13" s="78">
        <f>Traffic!U126</f>
        <v>285260.97034386755</v>
      </c>
      <c r="W13" s="78">
        <f>Traffic!V126</f>
        <v>296813.26587077661</v>
      </c>
      <c r="X13" s="78">
        <f>Traffic!W126</f>
        <v>308348.48742741998</v>
      </c>
      <c r="Y13" s="78">
        <f>Traffic!X126</f>
        <v>319866.63501379796</v>
      </c>
      <c r="Z13" s="78">
        <f>Traffic!Y126</f>
        <v>331367.70862991037</v>
      </c>
      <c r="AA13" s="78">
        <f>Traffic!Z126</f>
        <v>342851.70827575726</v>
      </c>
      <c r="AB13" s="78">
        <f>Traffic!AA126</f>
        <v>354318.63395133859</v>
      </c>
      <c r="AC13" s="78">
        <f>Traffic!AB126</f>
        <v>365768.48565665423</v>
      </c>
      <c r="AD13" s="78">
        <f>Traffic!AC126</f>
        <v>377201.26339170453</v>
      </c>
      <c r="AE13" s="78">
        <f>Traffic!AD126</f>
        <v>388616.96715648932</v>
      </c>
      <c r="AF13" s="78">
        <f>Traffic!AE126</f>
        <v>400015.59695100837</v>
      </c>
      <c r="AG13" s="78">
        <f>Traffic!AF126</f>
        <v>411397.15277526213</v>
      </c>
      <c r="AH13" s="78">
        <f>Traffic!AG126</f>
        <v>422761.63462925021</v>
      </c>
      <c r="AI13" s="78">
        <f>Traffic!AH126</f>
        <v>434109.04251297278</v>
      </c>
      <c r="AJ13" s="78">
        <f>Traffic!AI126</f>
        <v>445439.3764264299</v>
      </c>
      <c r="AK13" s="78">
        <f>Traffic!AJ126</f>
        <v>456752.63636962138</v>
      </c>
      <c r="AL13" s="78">
        <f>Traffic!AK126</f>
        <v>468048.82234254724</v>
      </c>
      <c r="AM13" s="78">
        <f>Traffic!AL126</f>
        <v>479327.93434520788</v>
      </c>
      <c r="AN13" s="78">
        <f>Traffic!AM126</f>
        <v>490589.97237760271</v>
      </c>
      <c r="AO13" s="78">
        <f>Traffic!AN126</f>
        <v>501834.93643973203</v>
      </c>
      <c r="AP13" s="78">
        <f>Traffic!AO126</f>
        <v>513062.8265315959</v>
      </c>
      <c r="AQ13" s="78">
        <f>Traffic!AP126</f>
        <v>524273.6426531942</v>
      </c>
      <c r="AR13" s="78">
        <f>Traffic!AQ126</f>
        <v>535467.38480452693</v>
      </c>
      <c r="AS13" s="78">
        <f>Traffic!AR126</f>
        <v>546644.05298559426</v>
      </c>
    </row>
    <row r="14" spans="1:45">
      <c r="A14" s="26" t="str">
        <f>"PREFERRED (With "&amp;'BCA Summary'!$E$1&amp;") total annual passenger vehicle stopped delay, hrs"</f>
        <v>PREFERRED (With BUILD Grant) total annual passenger vehicle stopped delay, hrs</v>
      </c>
      <c r="E14" s="79">
        <f>Traffic!D127</f>
        <v>86259.628935788263</v>
      </c>
      <c r="F14" s="79">
        <f>Traffic!E127</f>
        <v>98102.181957211316</v>
      </c>
      <c r="G14" s="79">
        <f>Traffic!F127</f>
        <v>109927.66100836886</v>
      </c>
      <c r="H14" s="79">
        <f>Traffic!G127</f>
        <v>121736.06608926084</v>
      </c>
      <c r="I14" s="79">
        <f>Traffic!H127</f>
        <v>133527.39719988726</v>
      </c>
      <c r="J14" s="79">
        <f>Traffic!I127</f>
        <v>145301.65434024823</v>
      </c>
      <c r="K14" s="79">
        <f>Traffic!J127</f>
        <v>157058.83751034355</v>
      </c>
      <c r="L14" s="79">
        <f>Traffic!K127</f>
        <v>168798.94671017348</v>
      </c>
      <c r="M14" s="79">
        <f>Traffic!L127</f>
        <v>180521.98193973777</v>
      </c>
      <c r="N14" s="79">
        <f>Traffic!M127</f>
        <v>192227.94319903653</v>
      </c>
      <c r="O14" s="79">
        <f>Traffic!N127</f>
        <v>203916.8304880698</v>
      </c>
      <c r="P14" s="79">
        <f>Traffic!O127</f>
        <v>215588.64380683756</v>
      </c>
      <c r="Q14" s="79">
        <f>Traffic!P127</f>
        <v>227243.38315533969</v>
      </c>
      <c r="R14" s="79">
        <f>Traffic!Q127</f>
        <v>238881.04853357631</v>
      </c>
      <c r="S14" s="79">
        <f>Traffic!R127</f>
        <v>250501.63994154747</v>
      </c>
      <c r="T14" s="79">
        <f>Traffic!S127</f>
        <v>40019.775030419492</v>
      </c>
      <c r="U14" s="79">
        <f>Traffic!T127</f>
        <v>41078.231573768106</v>
      </c>
      <c r="V14" s="79">
        <f>Traffic!U127</f>
        <v>42145.027242897137</v>
      </c>
      <c r="W14" s="79">
        <f>Traffic!V127</f>
        <v>43220.162037806607</v>
      </c>
      <c r="X14" s="79">
        <f>Traffic!W127</f>
        <v>44303.635958496518</v>
      </c>
      <c r="Y14" s="79">
        <f>Traffic!X127</f>
        <v>45395.449004966853</v>
      </c>
      <c r="Z14" s="79">
        <f>Traffic!Y127</f>
        <v>46495.601177217628</v>
      </c>
      <c r="AA14" s="79">
        <f>Traffic!Z127</f>
        <v>47604.092475248843</v>
      </c>
      <c r="AB14" s="79">
        <f>Traffic!AA127</f>
        <v>48720.922899060482</v>
      </c>
      <c r="AC14" s="79">
        <f>Traffic!AB127</f>
        <v>49846.092448652569</v>
      </c>
      <c r="AD14" s="79">
        <f>Traffic!AC127</f>
        <v>50979.601124025081</v>
      </c>
      <c r="AE14" s="79">
        <f>Traffic!AD127</f>
        <v>52121.448925178032</v>
      </c>
      <c r="AF14" s="79">
        <f>Traffic!AE127</f>
        <v>53271.635852111416</v>
      </c>
      <c r="AG14" s="79">
        <f>Traffic!AF127</f>
        <v>54430.161904825218</v>
      </c>
      <c r="AH14" s="79">
        <f>Traffic!AG127</f>
        <v>55597.027083319481</v>
      </c>
      <c r="AI14" s="79">
        <f>Traffic!AH127</f>
        <v>56772.231387594169</v>
      </c>
      <c r="AJ14" s="79">
        <f>Traffic!AI127</f>
        <v>57955.774817649282</v>
      </c>
      <c r="AK14" s="79">
        <f>Traffic!AJ127</f>
        <v>59147.657373484835</v>
      </c>
      <c r="AL14" s="79">
        <f>Traffic!AK127</f>
        <v>60347.879055100828</v>
      </c>
      <c r="AM14" s="79">
        <f>Traffic!AL127</f>
        <v>61556.439862497253</v>
      </c>
      <c r="AN14" s="79">
        <f>Traffic!AM127</f>
        <v>62773.339795674125</v>
      </c>
      <c r="AO14" s="79">
        <f>Traffic!AN127</f>
        <v>63998.578854631407</v>
      </c>
      <c r="AP14" s="79">
        <f>Traffic!AO127</f>
        <v>65232.157039369151</v>
      </c>
      <c r="AQ14" s="79">
        <f>Traffic!AP127</f>
        <v>66474.074349887291</v>
      </c>
      <c r="AR14" s="79">
        <f>Traffic!AQ127</f>
        <v>67724.330786185892</v>
      </c>
      <c r="AS14" s="79">
        <f>Traffic!AR127</f>
        <v>68982.926348264926</v>
      </c>
    </row>
    <row r="15" spans="1:45">
      <c r="A15" s="39" t="s">
        <v>30</v>
      </c>
      <c r="B15" s="40"/>
      <c r="C15" s="40"/>
      <c r="D15" s="40"/>
      <c r="E15" s="71">
        <f>E13-E14</f>
        <v>0</v>
      </c>
      <c r="F15" s="71">
        <f t="shared" ref="F15:AF15" si="4">F13-F14</f>
        <v>0</v>
      </c>
      <c r="G15" s="71">
        <f t="shared" si="4"/>
        <v>0</v>
      </c>
      <c r="H15" s="71">
        <f t="shared" si="4"/>
        <v>0</v>
      </c>
      <c r="I15" s="71">
        <f t="shared" si="4"/>
        <v>0</v>
      </c>
      <c r="J15" s="71">
        <f t="shared" si="4"/>
        <v>0</v>
      </c>
      <c r="K15" s="71">
        <f t="shared" si="4"/>
        <v>0</v>
      </c>
      <c r="L15" s="71">
        <f t="shared" si="4"/>
        <v>0</v>
      </c>
      <c r="M15" s="71">
        <f t="shared" si="4"/>
        <v>0</v>
      </c>
      <c r="N15" s="71">
        <f t="shared" si="4"/>
        <v>0</v>
      </c>
      <c r="O15" s="71">
        <f t="shared" si="4"/>
        <v>0</v>
      </c>
      <c r="P15" s="71">
        <f t="shared" si="4"/>
        <v>0</v>
      </c>
      <c r="Q15" s="71">
        <f t="shared" si="4"/>
        <v>0</v>
      </c>
      <c r="R15" s="71">
        <f t="shared" si="4"/>
        <v>0</v>
      </c>
      <c r="S15" s="71">
        <f t="shared" si="4"/>
        <v>0</v>
      </c>
      <c r="T15" s="71">
        <f t="shared" si="4"/>
        <v>222085.38234883363</v>
      </c>
      <c r="U15" s="71">
        <f t="shared" si="4"/>
        <v>232613.36927292499</v>
      </c>
      <c r="V15" s="71">
        <f t="shared" si="4"/>
        <v>243115.94310097041</v>
      </c>
      <c r="W15" s="71">
        <f t="shared" si="4"/>
        <v>253593.10383296999</v>
      </c>
      <c r="X15" s="71">
        <f t="shared" si="4"/>
        <v>264044.85146892344</v>
      </c>
      <c r="Y15" s="71">
        <f t="shared" si="4"/>
        <v>274471.18600883114</v>
      </c>
      <c r="Z15" s="71">
        <f t="shared" si="4"/>
        <v>284872.10745269276</v>
      </c>
      <c r="AA15" s="71">
        <f t="shared" si="4"/>
        <v>295247.61580050841</v>
      </c>
      <c r="AB15" s="71">
        <f t="shared" si="4"/>
        <v>305597.71105227811</v>
      </c>
      <c r="AC15" s="71">
        <f t="shared" si="4"/>
        <v>315922.39320800168</v>
      </c>
      <c r="AD15" s="71">
        <f t="shared" si="4"/>
        <v>326221.66226767947</v>
      </c>
      <c r="AE15" s="71">
        <f t="shared" si="4"/>
        <v>336495.51823131129</v>
      </c>
      <c r="AF15" s="71">
        <f t="shared" si="4"/>
        <v>346743.96109889692</v>
      </c>
      <c r="AG15" s="71">
        <f t="shared" ref="AG15:AH15" si="5">AG13-AG14</f>
        <v>356966.99087043689</v>
      </c>
      <c r="AH15" s="71">
        <f t="shared" si="5"/>
        <v>367164.60754593072</v>
      </c>
      <c r="AI15" s="71">
        <f t="shared" ref="AI15:AR15" si="6">AI13-AI14</f>
        <v>377336.81112537859</v>
      </c>
      <c r="AJ15" s="71">
        <f t="shared" si="6"/>
        <v>387483.60160878062</v>
      </c>
      <c r="AK15" s="71">
        <f t="shared" si="6"/>
        <v>397604.97899613658</v>
      </c>
      <c r="AL15" s="71">
        <f t="shared" si="6"/>
        <v>407700.9432874464</v>
      </c>
      <c r="AM15" s="71">
        <f t="shared" si="6"/>
        <v>417771.49448271061</v>
      </c>
      <c r="AN15" s="71">
        <f t="shared" si="6"/>
        <v>427816.63258192857</v>
      </c>
      <c r="AO15" s="71">
        <f t="shared" si="6"/>
        <v>437836.35758510063</v>
      </c>
      <c r="AP15" s="71">
        <f t="shared" si="6"/>
        <v>447830.66949222673</v>
      </c>
      <c r="AQ15" s="71">
        <f t="shared" si="6"/>
        <v>457799.56830330694</v>
      </c>
      <c r="AR15" s="71">
        <f t="shared" si="6"/>
        <v>467743.054018341</v>
      </c>
      <c r="AS15" s="71">
        <f t="shared" ref="AS15" si="7">AS13-AS14</f>
        <v>477661.12663732935</v>
      </c>
    </row>
    <row r="16" spans="1:45">
      <c r="D16"/>
    </row>
    <row r="17" spans="1:45" ht="16" thickBot="1">
      <c r="A17" s="32" t="s">
        <v>284</v>
      </c>
      <c r="B17" s="32"/>
      <c r="C17" s="32"/>
      <c r="D17" s="32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S17" s="43"/>
    </row>
    <row r="18" spans="1:45">
      <c r="B18" s="153" t="str">
        <f>"Baseline (No "&amp;'BCA Summary'!$E$1&amp;" Grant) Benefits"</f>
        <v>Baseline (No BUILD Grant Grant) Benefits</v>
      </c>
      <c r="C18" s="47"/>
      <c r="D18" s="34"/>
      <c r="E18" s="35" t="str">
        <f>E6</f>
        <v>No</v>
      </c>
      <c r="F18" s="35" t="str">
        <f t="shared" ref="F18:AQ19" si="8">F6</f>
        <v>No</v>
      </c>
      <c r="G18" s="35" t="str">
        <f t="shared" si="8"/>
        <v>No</v>
      </c>
      <c r="H18" s="35" t="str">
        <f t="shared" si="8"/>
        <v>No</v>
      </c>
      <c r="I18" s="35" t="str">
        <f t="shared" si="8"/>
        <v>No</v>
      </c>
      <c r="J18" s="35" t="str">
        <f t="shared" si="8"/>
        <v>No</v>
      </c>
      <c r="K18" s="35" t="str">
        <f t="shared" si="8"/>
        <v>No</v>
      </c>
      <c r="L18" s="35" t="str">
        <f t="shared" si="8"/>
        <v>No</v>
      </c>
      <c r="M18" s="35" t="str">
        <f t="shared" si="8"/>
        <v>No</v>
      </c>
      <c r="N18" s="35" t="str">
        <f t="shared" si="8"/>
        <v>No</v>
      </c>
      <c r="O18" s="35" t="str">
        <f t="shared" si="8"/>
        <v>No</v>
      </c>
      <c r="P18" s="35" t="str">
        <f t="shared" si="8"/>
        <v>No</v>
      </c>
      <c r="Q18" s="35" t="str">
        <f t="shared" si="8"/>
        <v>No</v>
      </c>
      <c r="R18" s="35" t="str">
        <f t="shared" si="8"/>
        <v>No</v>
      </c>
      <c r="S18" s="35" t="str">
        <f t="shared" si="8"/>
        <v>No</v>
      </c>
      <c r="T18" s="35" t="str">
        <f t="shared" si="8"/>
        <v>No</v>
      </c>
      <c r="U18" s="35" t="str">
        <f t="shared" si="8"/>
        <v>No</v>
      </c>
      <c r="V18" s="35" t="str">
        <f t="shared" si="8"/>
        <v>No</v>
      </c>
      <c r="W18" s="35" t="str">
        <f t="shared" si="8"/>
        <v>No</v>
      </c>
      <c r="X18" s="35" t="str">
        <f t="shared" si="8"/>
        <v>No</v>
      </c>
      <c r="Y18" s="35" t="str">
        <f t="shared" si="8"/>
        <v>No</v>
      </c>
      <c r="Z18" s="35" t="str">
        <f t="shared" si="8"/>
        <v>No</v>
      </c>
      <c r="AA18" s="35" t="str">
        <f t="shared" si="8"/>
        <v>No</v>
      </c>
      <c r="AB18" s="35" t="str">
        <f t="shared" si="8"/>
        <v>No</v>
      </c>
      <c r="AC18" s="35" t="str">
        <f t="shared" si="8"/>
        <v>No</v>
      </c>
      <c r="AD18" s="35" t="str">
        <f t="shared" si="8"/>
        <v>No</v>
      </c>
      <c r="AE18" s="35" t="str">
        <f t="shared" si="8"/>
        <v>No</v>
      </c>
      <c r="AF18" s="35" t="str">
        <f t="shared" si="8"/>
        <v>No</v>
      </c>
      <c r="AG18" s="35" t="str">
        <f t="shared" si="8"/>
        <v>No</v>
      </c>
      <c r="AH18" s="35" t="str">
        <f t="shared" si="8"/>
        <v>No</v>
      </c>
      <c r="AI18" s="35" t="str">
        <f t="shared" si="8"/>
        <v>No</v>
      </c>
      <c r="AJ18" s="35" t="str">
        <f t="shared" si="8"/>
        <v>No</v>
      </c>
      <c r="AK18" s="35" t="str">
        <f t="shared" si="8"/>
        <v>No</v>
      </c>
      <c r="AL18" s="35" t="str">
        <f t="shared" si="8"/>
        <v>No</v>
      </c>
      <c r="AM18" s="35" t="str">
        <f t="shared" si="8"/>
        <v>No</v>
      </c>
      <c r="AN18" s="35" t="str">
        <f t="shared" si="8"/>
        <v>No</v>
      </c>
      <c r="AO18" s="35" t="str">
        <f t="shared" si="8"/>
        <v>No</v>
      </c>
      <c r="AP18" s="35" t="str">
        <f t="shared" si="8"/>
        <v>No</v>
      </c>
      <c r="AQ18" s="35" t="str">
        <f t="shared" si="8"/>
        <v>No</v>
      </c>
      <c r="AR18" s="35" t="str">
        <f t="shared" ref="AR18:AS18" si="9">AR6</f>
        <v>No</v>
      </c>
      <c r="AS18" s="35" t="str">
        <f t="shared" si="9"/>
        <v>No</v>
      </c>
    </row>
    <row r="19" spans="1:45">
      <c r="B19" s="36" t="str">
        <f>"Preferred (With "&amp;'BCA Summary'!$E$1&amp;" Grant) Benefits"</f>
        <v>Preferred (With BUILD Grant Grant) Benefits</v>
      </c>
      <c r="C19" s="36"/>
      <c r="D19" s="34"/>
      <c r="E19" s="35">
        <f>E7</f>
        <v>0</v>
      </c>
      <c r="F19" s="35">
        <f t="shared" si="8"/>
        <v>0</v>
      </c>
      <c r="G19" s="35">
        <f t="shared" si="8"/>
        <v>0</v>
      </c>
      <c r="H19" s="35" t="str">
        <f t="shared" si="8"/>
        <v>No</v>
      </c>
      <c r="I19" s="35" t="str">
        <f t="shared" si="8"/>
        <v>No</v>
      </c>
      <c r="J19" s="35" t="str">
        <f t="shared" si="8"/>
        <v>No</v>
      </c>
      <c r="K19" s="35" t="str">
        <f t="shared" si="8"/>
        <v>No</v>
      </c>
      <c r="L19" s="35" t="str">
        <f t="shared" si="8"/>
        <v>No</v>
      </c>
      <c r="M19" s="35" t="str">
        <f t="shared" si="8"/>
        <v>No</v>
      </c>
      <c r="N19" s="35" t="str">
        <f t="shared" si="8"/>
        <v>No</v>
      </c>
      <c r="O19" s="35" t="str">
        <f t="shared" si="8"/>
        <v>No</v>
      </c>
      <c r="P19" s="35" t="str">
        <f t="shared" si="8"/>
        <v>No</v>
      </c>
      <c r="Q19" s="35" t="str">
        <f t="shared" si="8"/>
        <v>No</v>
      </c>
      <c r="R19" s="35" t="str">
        <f t="shared" si="8"/>
        <v>No</v>
      </c>
      <c r="S19" s="35" t="str">
        <f t="shared" si="8"/>
        <v>No</v>
      </c>
      <c r="T19" s="35" t="str">
        <f t="shared" si="8"/>
        <v>Yes</v>
      </c>
      <c r="U19" s="35" t="str">
        <f t="shared" si="8"/>
        <v>Yes</v>
      </c>
      <c r="V19" s="35" t="str">
        <f t="shared" si="8"/>
        <v>Yes</v>
      </c>
      <c r="W19" s="35" t="str">
        <f t="shared" si="8"/>
        <v>Yes</v>
      </c>
      <c r="X19" s="35" t="str">
        <f t="shared" si="8"/>
        <v>Yes</v>
      </c>
      <c r="Y19" s="35" t="str">
        <f t="shared" si="8"/>
        <v>Yes</v>
      </c>
      <c r="Z19" s="35" t="str">
        <f t="shared" si="8"/>
        <v>Yes</v>
      </c>
      <c r="AA19" s="35" t="str">
        <f t="shared" si="8"/>
        <v>Yes</v>
      </c>
      <c r="AB19" s="35" t="str">
        <f t="shared" si="8"/>
        <v>Yes</v>
      </c>
      <c r="AC19" s="35" t="str">
        <f t="shared" si="8"/>
        <v>Yes</v>
      </c>
      <c r="AD19" s="35" t="str">
        <f t="shared" si="8"/>
        <v>Yes</v>
      </c>
      <c r="AE19" s="35" t="str">
        <f t="shared" si="8"/>
        <v>Yes</v>
      </c>
      <c r="AF19" s="35" t="str">
        <f t="shared" si="8"/>
        <v>Yes</v>
      </c>
      <c r="AG19" s="35" t="str">
        <f t="shared" si="8"/>
        <v>Yes</v>
      </c>
      <c r="AH19" s="35" t="str">
        <f t="shared" si="8"/>
        <v>Yes</v>
      </c>
      <c r="AI19" s="35" t="str">
        <f t="shared" si="8"/>
        <v>Yes</v>
      </c>
      <c r="AJ19" s="35" t="str">
        <f t="shared" si="8"/>
        <v>Yes</v>
      </c>
      <c r="AK19" s="35" t="str">
        <f t="shared" si="8"/>
        <v>Yes</v>
      </c>
      <c r="AL19" s="35" t="str">
        <f t="shared" si="8"/>
        <v>Yes</v>
      </c>
      <c r="AM19" s="35" t="str">
        <f t="shared" si="8"/>
        <v>Yes</v>
      </c>
      <c r="AN19" s="35" t="str">
        <f t="shared" si="8"/>
        <v>Yes</v>
      </c>
      <c r="AO19" s="35" t="str">
        <f t="shared" si="8"/>
        <v>Yes</v>
      </c>
      <c r="AP19" s="35" t="str">
        <f t="shared" si="8"/>
        <v>Yes</v>
      </c>
      <c r="AQ19" s="35" t="str">
        <f t="shared" si="8"/>
        <v>Yes</v>
      </c>
      <c r="AR19" s="35" t="str">
        <f t="shared" ref="AR19:AS19" si="10">AR7</f>
        <v>Yes</v>
      </c>
      <c r="AS19" s="35" t="str">
        <f t="shared" si="10"/>
        <v>Yes</v>
      </c>
    </row>
    <row r="20" spans="1:45">
      <c r="B20" s="36"/>
      <c r="C20" s="36"/>
      <c r="D20" s="34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</row>
    <row r="21" spans="1:45">
      <c r="A21" s="23"/>
      <c r="B21" s="89" t="str">
        <f>"BASELINE (No "&amp;'BCA Summary'!E1&amp;") total annual crossing delay"</f>
        <v>BASELINE (No BUILD Grant) total annual crossing delay</v>
      </c>
      <c r="E21" s="48">
        <f t="shared" ref="E21:G21" si="11">$I21+(($AD21-$I21)/($AD$4-$I$4))*(E$4-$I$4)</f>
        <v>74320.279337070824</v>
      </c>
      <c r="F21" s="48">
        <f t="shared" si="11"/>
        <v>76346.036796167624</v>
      </c>
      <c r="G21" s="48">
        <f t="shared" si="11"/>
        <v>78371.794255264424</v>
      </c>
      <c r="H21" s="48">
        <f>$I21+(($AD21-$I21)/($AD$4-$I$4))*(H$4-$I$4)</f>
        <v>80397.551714361223</v>
      </c>
      <c r="I21" s="155">
        <f>(L46+L52)*E38</f>
        <v>82423.309173458023</v>
      </c>
      <c r="J21" s="48">
        <f>$I21+(($AD21-$I21)/($AD$4-$I$4))*(J$4-$I$4)</f>
        <v>84449.066632554823</v>
      </c>
      <c r="K21" s="48">
        <f t="shared" ref="K21:AS22" si="12">$I21+(($AD21-$I21)/($AD$4-$I$4))*(K$4-$I$4)</f>
        <v>86474.824091651622</v>
      </c>
      <c r="L21" s="48">
        <f t="shared" si="12"/>
        <v>88500.581550748422</v>
      </c>
      <c r="M21" s="48">
        <f t="shared" si="12"/>
        <v>90526.339009845222</v>
      </c>
      <c r="N21" s="48">
        <f t="shared" si="12"/>
        <v>92552.096468942022</v>
      </c>
      <c r="O21" s="48">
        <f t="shared" si="12"/>
        <v>94577.853928038821</v>
      </c>
      <c r="P21" s="48">
        <f t="shared" si="12"/>
        <v>96603.611387135621</v>
      </c>
      <c r="Q21" s="48">
        <f t="shared" si="12"/>
        <v>98629.368846232421</v>
      </c>
      <c r="R21" s="48">
        <f t="shared" si="12"/>
        <v>100655.12630532922</v>
      </c>
      <c r="S21" s="48">
        <f t="shared" si="12"/>
        <v>102680.88376442602</v>
      </c>
      <c r="T21" s="48">
        <f t="shared" si="12"/>
        <v>104706.64122352282</v>
      </c>
      <c r="U21" s="48">
        <f t="shared" si="12"/>
        <v>106732.39868261962</v>
      </c>
      <c r="V21" s="48">
        <f t="shared" si="12"/>
        <v>108758.15614171642</v>
      </c>
      <c r="W21" s="48">
        <f t="shared" si="12"/>
        <v>110783.91360081322</v>
      </c>
      <c r="X21" s="48">
        <f t="shared" si="12"/>
        <v>112809.67105991002</v>
      </c>
      <c r="Y21" s="48">
        <f t="shared" si="12"/>
        <v>114835.42851900682</v>
      </c>
      <c r="Z21" s="48">
        <f t="shared" si="12"/>
        <v>116861.18597810362</v>
      </c>
      <c r="AA21" s="48">
        <f t="shared" si="12"/>
        <v>118886.94343720042</v>
      </c>
      <c r="AB21" s="48">
        <f t="shared" si="12"/>
        <v>120912.70089629722</v>
      </c>
      <c r="AC21" s="48">
        <f t="shared" si="12"/>
        <v>122938.45835539402</v>
      </c>
      <c r="AD21" s="155">
        <f>(M46+M52)*E38</f>
        <v>124964.21581449082</v>
      </c>
      <c r="AE21" s="48">
        <f t="shared" si="12"/>
        <v>126989.97327358762</v>
      </c>
      <c r="AF21" s="48">
        <f t="shared" si="12"/>
        <v>129015.73073268442</v>
      </c>
      <c r="AG21" s="48">
        <f t="shared" si="12"/>
        <v>131041.48819178122</v>
      </c>
      <c r="AH21" s="48">
        <f t="shared" si="12"/>
        <v>133067.245650878</v>
      </c>
      <c r="AI21" s="48">
        <f t="shared" si="12"/>
        <v>135093.00310997482</v>
      </c>
      <c r="AJ21" s="48">
        <f t="shared" si="12"/>
        <v>137118.76056907163</v>
      </c>
      <c r="AK21" s="48">
        <f t="shared" si="12"/>
        <v>139144.51802816842</v>
      </c>
      <c r="AL21" s="48">
        <f t="shared" si="12"/>
        <v>141170.2754872652</v>
      </c>
      <c r="AM21" s="48">
        <f t="shared" si="12"/>
        <v>143196.03294636201</v>
      </c>
      <c r="AN21" s="48">
        <f t="shared" si="12"/>
        <v>145221.79040545883</v>
      </c>
      <c r="AO21" s="48">
        <f t="shared" si="12"/>
        <v>147247.54786455561</v>
      </c>
      <c r="AP21" s="48">
        <f t="shared" si="12"/>
        <v>149273.3053236524</v>
      </c>
      <c r="AQ21" s="48">
        <f t="shared" si="12"/>
        <v>151299.06278274921</v>
      </c>
      <c r="AR21" s="48">
        <f t="shared" si="12"/>
        <v>153324.82024184603</v>
      </c>
      <c r="AS21" s="48">
        <f t="shared" si="12"/>
        <v>155350.57770094281</v>
      </c>
    </row>
    <row r="22" spans="1:45">
      <c r="A22" s="23"/>
      <c r="B22" s="26" t="str">
        <f>"PREFERRED (With "&amp;'BCA Summary'!E1&amp;") total annual crossing delay"</f>
        <v>PREFERRED (With BUILD Grant) total annual crossing delay</v>
      </c>
      <c r="E22" s="48">
        <f>$I22+(($AD22-$I22)/($AD$4-$I$4))*(E$4-$I$4)</f>
        <v>573.83274793095791</v>
      </c>
      <c r="F22" s="48">
        <f>$I22+(($AD22-$I22)/($AD$4-$I$4))*(F$4-$I$4)</f>
        <v>583.55872670944871</v>
      </c>
      <c r="G22" s="48">
        <f>$I22+(($AD22-$I22)/($AD$4-$I$4))*(G$4-$I$4)</f>
        <v>593.2847054879395</v>
      </c>
      <c r="H22" s="48">
        <f>$I22+(($AD22-$I22)/($AD$4-$I$4))*(H$4-$I$4)</f>
        <v>603.0106842664303</v>
      </c>
      <c r="I22" s="91">
        <f>E38*L50</f>
        <v>612.7366630449211</v>
      </c>
      <c r="J22" s="48">
        <f>$I22+(($AD22-$I22)/($AD$4-$I$4))*(J$4-$I$4)</f>
        <v>622.4626418234119</v>
      </c>
      <c r="K22" s="48">
        <f t="shared" si="12"/>
        <v>632.1886206019027</v>
      </c>
      <c r="L22" s="48">
        <f t="shared" si="12"/>
        <v>641.9145993803935</v>
      </c>
      <c r="M22" s="48">
        <f t="shared" si="12"/>
        <v>651.6405781588843</v>
      </c>
      <c r="N22" s="48">
        <f t="shared" si="12"/>
        <v>661.36655693737521</v>
      </c>
      <c r="O22" s="48">
        <f t="shared" si="12"/>
        <v>671.09253571586601</v>
      </c>
      <c r="P22" s="48">
        <f t="shared" si="12"/>
        <v>680.8185144943568</v>
      </c>
      <c r="Q22" s="48">
        <f t="shared" si="12"/>
        <v>690.5444932728476</v>
      </c>
      <c r="R22" s="48">
        <f t="shared" si="12"/>
        <v>700.2704720513384</v>
      </c>
      <c r="S22" s="48">
        <f t="shared" si="12"/>
        <v>709.9964508298292</v>
      </c>
      <c r="T22" s="48">
        <f t="shared" si="12"/>
        <v>719.72242960832</v>
      </c>
      <c r="U22" s="48">
        <f t="shared" si="12"/>
        <v>729.4484083868108</v>
      </c>
      <c r="V22" s="48">
        <f t="shared" si="12"/>
        <v>739.1743871653016</v>
      </c>
      <c r="W22" s="48">
        <f t="shared" si="12"/>
        <v>748.90036594379239</v>
      </c>
      <c r="X22" s="48">
        <f t="shared" si="12"/>
        <v>758.62634472228319</v>
      </c>
      <c r="Y22" s="48">
        <f t="shared" si="12"/>
        <v>768.35232350077399</v>
      </c>
      <c r="Z22" s="48">
        <f t="shared" si="12"/>
        <v>778.07830227926479</v>
      </c>
      <c r="AA22" s="48">
        <f t="shared" si="12"/>
        <v>787.8042810577557</v>
      </c>
      <c r="AB22" s="48">
        <f t="shared" si="12"/>
        <v>797.5302598362465</v>
      </c>
      <c r="AC22" s="48">
        <f t="shared" si="12"/>
        <v>807.2562386147373</v>
      </c>
      <c r="AD22" s="91">
        <f>M50*E38</f>
        <v>816.9822173932281</v>
      </c>
      <c r="AE22" s="48">
        <f t="shared" si="12"/>
        <v>826.7081961717189</v>
      </c>
      <c r="AF22" s="48">
        <f t="shared" si="12"/>
        <v>836.43417495020969</v>
      </c>
      <c r="AG22" s="48">
        <f t="shared" si="12"/>
        <v>846.16015372870049</v>
      </c>
      <c r="AH22" s="48">
        <f t="shared" si="12"/>
        <v>855.88613250719129</v>
      </c>
      <c r="AI22" s="48">
        <f t="shared" si="12"/>
        <v>865.6121112856822</v>
      </c>
      <c r="AJ22" s="48">
        <f t="shared" si="12"/>
        <v>875.338090064173</v>
      </c>
      <c r="AK22" s="48">
        <f t="shared" si="12"/>
        <v>885.0640688426638</v>
      </c>
      <c r="AL22" s="48">
        <f t="shared" si="12"/>
        <v>894.7900476211546</v>
      </c>
      <c r="AM22" s="48">
        <f t="shared" si="12"/>
        <v>904.5160263996454</v>
      </c>
      <c r="AN22" s="48">
        <f t="shared" si="12"/>
        <v>914.2420051781362</v>
      </c>
      <c r="AO22" s="48">
        <f t="shared" si="12"/>
        <v>923.96798395662699</v>
      </c>
      <c r="AP22" s="48">
        <f t="shared" si="12"/>
        <v>933.69396273511779</v>
      </c>
      <c r="AQ22" s="48">
        <f t="shared" si="12"/>
        <v>943.41994151360859</v>
      </c>
      <c r="AR22" s="48">
        <f t="shared" si="12"/>
        <v>953.14592029209939</v>
      </c>
      <c r="AS22" s="48">
        <f t="shared" ref="AS22" si="13">$I22+(($AD22-$I22)/($AD$4-$I$4))*(AS$4-$I$4)</f>
        <v>962.87189907059019</v>
      </c>
    </row>
    <row r="23" spans="1:45">
      <c r="B23" s="36"/>
      <c r="C23" s="36"/>
      <c r="D23" s="34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</row>
    <row r="24" spans="1:45">
      <c r="B24" s="89" t="str">
        <f>"BASELINE (No "&amp;'BCA Summary'!E1&amp;") total annual crossing delay, hrs"</f>
        <v>BASELINE (No BUILD Grant) total annual crossing delay, hrs</v>
      </c>
      <c r="E24" s="158">
        <f>E21</f>
        <v>74320.279337070824</v>
      </c>
      <c r="F24" s="158">
        <f t="shared" ref="F24:AQ24" si="14">F21</f>
        <v>76346.036796167624</v>
      </c>
      <c r="G24" s="158">
        <f t="shared" si="14"/>
        <v>78371.794255264424</v>
      </c>
      <c r="H24" s="158">
        <f t="shared" si="14"/>
        <v>80397.551714361223</v>
      </c>
      <c r="I24" s="158">
        <f t="shared" si="14"/>
        <v>82423.309173458023</v>
      </c>
      <c r="J24" s="158">
        <f t="shared" si="14"/>
        <v>84449.066632554823</v>
      </c>
      <c r="K24" s="158">
        <f t="shared" si="14"/>
        <v>86474.824091651622</v>
      </c>
      <c r="L24" s="158">
        <f t="shared" si="14"/>
        <v>88500.581550748422</v>
      </c>
      <c r="M24" s="158">
        <f t="shared" si="14"/>
        <v>90526.339009845222</v>
      </c>
      <c r="N24" s="158">
        <f t="shared" si="14"/>
        <v>92552.096468942022</v>
      </c>
      <c r="O24" s="158">
        <f t="shared" si="14"/>
        <v>94577.853928038821</v>
      </c>
      <c r="P24" s="158">
        <f t="shared" si="14"/>
        <v>96603.611387135621</v>
      </c>
      <c r="Q24" s="158">
        <f t="shared" si="14"/>
        <v>98629.368846232421</v>
      </c>
      <c r="R24" s="158">
        <f t="shared" si="14"/>
        <v>100655.12630532922</v>
      </c>
      <c r="S24" s="158">
        <f t="shared" si="14"/>
        <v>102680.88376442602</v>
      </c>
      <c r="T24" s="158">
        <f t="shared" si="14"/>
        <v>104706.64122352282</v>
      </c>
      <c r="U24" s="158">
        <f t="shared" si="14"/>
        <v>106732.39868261962</v>
      </c>
      <c r="V24" s="158">
        <f t="shared" si="14"/>
        <v>108758.15614171642</v>
      </c>
      <c r="W24" s="158">
        <f t="shared" si="14"/>
        <v>110783.91360081322</v>
      </c>
      <c r="X24" s="158">
        <f t="shared" si="14"/>
        <v>112809.67105991002</v>
      </c>
      <c r="Y24" s="158">
        <f t="shared" si="14"/>
        <v>114835.42851900682</v>
      </c>
      <c r="Z24" s="158">
        <f t="shared" si="14"/>
        <v>116861.18597810362</v>
      </c>
      <c r="AA24" s="158">
        <f t="shared" si="14"/>
        <v>118886.94343720042</v>
      </c>
      <c r="AB24" s="158">
        <f t="shared" si="14"/>
        <v>120912.70089629722</v>
      </c>
      <c r="AC24" s="158">
        <f t="shared" si="14"/>
        <v>122938.45835539402</v>
      </c>
      <c r="AD24" s="158">
        <f t="shared" si="14"/>
        <v>124964.21581449082</v>
      </c>
      <c r="AE24" s="158">
        <f t="shared" si="14"/>
        <v>126989.97327358762</v>
      </c>
      <c r="AF24" s="158">
        <f t="shared" si="14"/>
        <v>129015.73073268442</v>
      </c>
      <c r="AG24" s="158">
        <f t="shared" si="14"/>
        <v>131041.48819178122</v>
      </c>
      <c r="AH24" s="158">
        <f t="shared" si="14"/>
        <v>133067.245650878</v>
      </c>
      <c r="AI24" s="158">
        <f t="shared" si="14"/>
        <v>135093.00310997482</v>
      </c>
      <c r="AJ24" s="158">
        <f t="shared" si="14"/>
        <v>137118.76056907163</v>
      </c>
      <c r="AK24" s="158">
        <f t="shared" si="14"/>
        <v>139144.51802816842</v>
      </c>
      <c r="AL24" s="158">
        <f t="shared" si="14"/>
        <v>141170.2754872652</v>
      </c>
      <c r="AM24" s="158">
        <f t="shared" si="14"/>
        <v>143196.03294636201</v>
      </c>
      <c r="AN24" s="158">
        <f t="shared" si="14"/>
        <v>145221.79040545883</v>
      </c>
      <c r="AO24" s="158">
        <f t="shared" si="14"/>
        <v>147247.54786455561</v>
      </c>
      <c r="AP24" s="158">
        <f t="shared" si="14"/>
        <v>149273.3053236524</v>
      </c>
      <c r="AQ24" s="158">
        <f t="shared" si="14"/>
        <v>151299.06278274921</v>
      </c>
      <c r="AR24" s="158">
        <f t="shared" ref="AR24:AS24" si="15">AR21</f>
        <v>153324.82024184603</v>
      </c>
      <c r="AS24" s="158">
        <f t="shared" si="15"/>
        <v>155350.57770094281</v>
      </c>
    </row>
    <row r="25" spans="1:45">
      <c r="B25" s="26" t="str">
        <f>"PREFERRED (With "&amp;'BCA Summary'!E1&amp;") total annual crossing delay, hrs"</f>
        <v>PREFERRED (With BUILD Grant) total annual crossing delay, hrs</v>
      </c>
      <c r="E25" s="158">
        <f>IF(E19="Yes",E22,E21)</f>
        <v>74320.279337070824</v>
      </c>
      <c r="F25" s="158">
        <f t="shared" ref="F25:AQ25" si="16">IF(F19="Yes",F22,F21)</f>
        <v>76346.036796167624</v>
      </c>
      <c r="G25" s="158">
        <f t="shared" si="16"/>
        <v>78371.794255264424</v>
      </c>
      <c r="H25" s="158">
        <f t="shared" si="16"/>
        <v>80397.551714361223</v>
      </c>
      <c r="I25" s="158">
        <f t="shared" si="16"/>
        <v>82423.309173458023</v>
      </c>
      <c r="J25" s="158">
        <f t="shared" si="16"/>
        <v>84449.066632554823</v>
      </c>
      <c r="K25" s="158">
        <f t="shared" si="16"/>
        <v>86474.824091651622</v>
      </c>
      <c r="L25" s="158">
        <f t="shared" si="16"/>
        <v>88500.581550748422</v>
      </c>
      <c r="M25" s="158">
        <f t="shared" si="16"/>
        <v>90526.339009845222</v>
      </c>
      <c r="N25" s="158">
        <f t="shared" si="16"/>
        <v>92552.096468942022</v>
      </c>
      <c r="O25" s="158">
        <f t="shared" si="16"/>
        <v>94577.853928038821</v>
      </c>
      <c r="P25" s="158">
        <f t="shared" si="16"/>
        <v>96603.611387135621</v>
      </c>
      <c r="Q25" s="158">
        <f t="shared" si="16"/>
        <v>98629.368846232421</v>
      </c>
      <c r="R25" s="158">
        <f t="shared" si="16"/>
        <v>100655.12630532922</v>
      </c>
      <c r="S25" s="158">
        <f t="shared" si="16"/>
        <v>102680.88376442602</v>
      </c>
      <c r="T25" s="158">
        <f t="shared" si="16"/>
        <v>719.72242960832</v>
      </c>
      <c r="U25" s="158">
        <f t="shared" si="16"/>
        <v>729.4484083868108</v>
      </c>
      <c r="V25" s="158">
        <f t="shared" si="16"/>
        <v>739.1743871653016</v>
      </c>
      <c r="W25" s="158">
        <f t="shared" si="16"/>
        <v>748.90036594379239</v>
      </c>
      <c r="X25" s="158">
        <f t="shared" si="16"/>
        <v>758.62634472228319</v>
      </c>
      <c r="Y25" s="158">
        <f t="shared" si="16"/>
        <v>768.35232350077399</v>
      </c>
      <c r="Z25" s="158">
        <f t="shared" si="16"/>
        <v>778.07830227926479</v>
      </c>
      <c r="AA25" s="158">
        <f t="shared" si="16"/>
        <v>787.8042810577557</v>
      </c>
      <c r="AB25" s="158">
        <f t="shared" si="16"/>
        <v>797.5302598362465</v>
      </c>
      <c r="AC25" s="158">
        <f t="shared" si="16"/>
        <v>807.2562386147373</v>
      </c>
      <c r="AD25" s="158">
        <f t="shared" si="16"/>
        <v>816.9822173932281</v>
      </c>
      <c r="AE25" s="158">
        <f t="shared" si="16"/>
        <v>826.7081961717189</v>
      </c>
      <c r="AF25" s="158">
        <f t="shared" si="16"/>
        <v>836.43417495020969</v>
      </c>
      <c r="AG25" s="158">
        <f t="shared" si="16"/>
        <v>846.16015372870049</v>
      </c>
      <c r="AH25" s="158">
        <f t="shared" si="16"/>
        <v>855.88613250719129</v>
      </c>
      <c r="AI25" s="158">
        <f t="shared" si="16"/>
        <v>865.6121112856822</v>
      </c>
      <c r="AJ25" s="158">
        <f t="shared" si="16"/>
        <v>875.338090064173</v>
      </c>
      <c r="AK25" s="158">
        <f t="shared" si="16"/>
        <v>885.0640688426638</v>
      </c>
      <c r="AL25" s="158">
        <f t="shared" si="16"/>
        <v>894.7900476211546</v>
      </c>
      <c r="AM25" s="158">
        <f t="shared" si="16"/>
        <v>904.5160263996454</v>
      </c>
      <c r="AN25" s="158">
        <f t="shared" si="16"/>
        <v>914.2420051781362</v>
      </c>
      <c r="AO25" s="158">
        <f t="shared" si="16"/>
        <v>923.96798395662699</v>
      </c>
      <c r="AP25" s="158">
        <f t="shared" si="16"/>
        <v>933.69396273511779</v>
      </c>
      <c r="AQ25" s="158">
        <f t="shared" si="16"/>
        <v>943.41994151360859</v>
      </c>
      <c r="AR25" s="158">
        <f t="shared" ref="AR25:AS25" si="17">IF(AR19="Yes",AR22,AR21)</f>
        <v>953.14592029209939</v>
      </c>
      <c r="AS25" s="158">
        <f t="shared" si="17"/>
        <v>962.87189907059019</v>
      </c>
    </row>
    <row r="26" spans="1:45">
      <c r="B26" s="23" t="s">
        <v>30</v>
      </c>
      <c r="E26" s="51">
        <f>E24-E25</f>
        <v>0</v>
      </c>
      <c r="F26" s="51">
        <f t="shared" ref="F26:AQ26" si="18">F24-F25</f>
        <v>0</v>
      </c>
      <c r="G26" s="51">
        <f t="shared" si="18"/>
        <v>0</v>
      </c>
      <c r="H26" s="51">
        <f t="shared" si="18"/>
        <v>0</v>
      </c>
      <c r="I26" s="51">
        <f t="shared" si="18"/>
        <v>0</v>
      </c>
      <c r="J26" s="51">
        <f t="shared" si="18"/>
        <v>0</v>
      </c>
      <c r="K26" s="51">
        <f t="shared" si="18"/>
        <v>0</v>
      </c>
      <c r="L26" s="51">
        <f t="shared" si="18"/>
        <v>0</v>
      </c>
      <c r="M26" s="51">
        <f t="shared" si="18"/>
        <v>0</v>
      </c>
      <c r="N26" s="51">
        <f t="shared" si="18"/>
        <v>0</v>
      </c>
      <c r="O26" s="51">
        <f t="shared" si="18"/>
        <v>0</v>
      </c>
      <c r="P26" s="51">
        <f t="shared" si="18"/>
        <v>0</v>
      </c>
      <c r="Q26" s="51">
        <f t="shared" si="18"/>
        <v>0</v>
      </c>
      <c r="R26" s="51">
        <f t="shared" si="18"/>
        <v>0</v>
      </c>
      <c r="S26" s="51">
        <f t="shared" si="18"/>
        <v>0</v>
      </c>
      <c r="T26" s="51">
        <f t="shared" si="18"/>
        <v>103986.9187939145</v>
      </c>
      <c r="U26" s="51">
        <f t="shared" si="18"/>
        <v>106002.9502742328</v>
      </c>
      <c r="V26" s="51">
        <f t="shared" si="18"/>
        <v>108018.98175455112</v>
      </c>
      <c r="W26" s="51">
        <f t="shared" si="18"/>
        <v>110035.01323486943</v>
      </c>
      <c r="X26" s="51">
        <f t="shared" si="18"/>
        <v>112051.04471518773</v>
      </c>
      <c r="Y26" s="51">
        <f t="shared" si="18"/>
        <v>114067.07619550604</v>
      </c>
      <c r="Z26" s="51">
        <f t="shared" si="18"/>
        <v>116083.10767582436</v>
      </c>
      <c r="AA26" s="51">
        <f t="shared" si="18"/>
        <v>118099.13915614266</v>
      </c>
      <c r="AB26" s="51">
        <f t="shared" si="18"/>
        <v>120115.17063646097</v>
      </c>
      <c r="AC26" s="51">
        <f t="shared" si="18"/>
        <v>122131.20211677928</v>
      </c>
      <c r="AD26" s="51">
        <f t="shared" si="18"/>
        <v>124147.23359709758</v>
      </c>
      <c r="AE26" s="51">
        <f t="shared" si="18"/>
        <v>126163.2650774159</v>
      </c>
      <c r="AF26" s="51">
        <f t="shared" si="18"/>
        <v>128179.29655773421</v>
      </c>
      <c r="AG26" s="51">
        <f t="shared" si="18"/>
        <v>130195.32803805251</v>
      </c>
      <c r="AH26" s="51">
        <f t="shared" si="18"/>
        <v>132211.35951837082</v>
      </c>
      <c r="AI26" s="51">
        <f t="shared" si="18"/>
        <v>134227.39099868914</v>
      </c>
      <c r="AJ26" s="51">
        <f t="shared" si="18"/>
        <v>136243.42247900745</v>
      </c>
      <c r="AK26" s="51">
        <f t="shared" si="18"/>
        <v>138259.45395932577</v>
      </c>
      <c r="AL26" s="51">
        <f t="shared" si="18"/>
        <v>140275.48543964405</v>
      </c>
      <c r="AM26" s="51">
        <f t="shared" si="18"/>
        <v>142291.51691996236</v>
      </c>
      <c r="AN26" s="51">
        <f t="shared" si="18"/>
        <v>144307.54840028071</v>
      </c>
      <c r="AO26" s="51">
        <f t="shared" si="18"/>
        <v>146323.57988059899</v>
      </c>
      <c r="AP26" s="51">
        <f t="shared" si="18"/>
        <v>148339.61136091728</v>
      </c>
      <c r="AQ26" s="51">
        <f t="shared" si="18"/>
        <v>150355.64284123562</v>
      </c>
      <c r="AR26" s="51">
        <f t="shared" ref="AR26:AS26" si="19">AR24-AR25</f>
        <v>152371.67432155393</v>
      </c>
      <c r="AS26" s="51">
        <f t="shared" si="19"/>
        <v>154387.70580187222</v>
      </c>
    </row>
    <row r="27" spans="1:45">
      <c r="B27" s="36"/>
      <c r="C27" s="36"/>
      <c r="D27" s="34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</row>
    <row r="28" spans="1:45">
      <c r="A28" s="37" t="str">
        <f>"BASELINE (No "&amp;'BCA Summary'!E1&amp;") total annual truck stopped delay, hrs"</f>
        <v>BASELINE (No BUILD Grant) total annual truck stopped delay, hrs</v>
      </c>
      <c r="B28" s="38"/>
      <c r="C28" s="38"/>
      <c r="D28" s="38"/>
      <c r="E28" s="159">
        <f t="shared" ref="E28:AS28" si="20">E24*$N$53</f>
        <v>2001.8738429369857</v>
      </c>
      <c r="F28" s="159">
        <f t="shared" si="20"/>
        <v>2056.4391769975318</v>
      </c>
      <c r="G28" s="159">
        <f t="shared" si="20"/>
        <v>2111.0045110580777</v>
      </c>
      <c r="H28" s="159">
        <f t="shared" si="20"/>
        <v>2165.569845118624</v>
      </c>
      <c r="I28" s="159">
        <f t="shared" si="20"/>
        <v>2220.1351791791703</v>
      </c>
      <c r="J28" s="159">
        <f t="shared" si="20"/>
        <v>2274.7005132397162</v>
      </c>
      <c r="K28" s="159">
        <f t="shared" si="20"/>
        <v>2329.2658473002625</v>
      </c>
      <c r="L28" s="159">
        <f t="shared" si="20"/>
        <v>2383.8311813608084</v>
      </c>
      <c r="M28" s="159">
        <f t="shared" si="20"/>
        <v>2438.3965154213547</v>
      </c>
      <c r="N28" s="159">
        <f t="shared" si="20"/>
        <v>2492.961849481901</v>
      </c>
      <c r="O28" s="159">
        <f t="shared" si="20"/>
        <v>2547.5271835424469</v>
      </c>
      <c r="P28" s="159">
        <f t="shared" si="20"/>
        <v>2602.0925176029932</v>
      </c>
      <c r="Q28" s="159">
        <f t="shared" si="20"/>
        <v>2656.6578516635391</v>
      </c>
      <c r="R28" s="159">
        <f t="shared" si="20"/>
        <v>2711.2231857240854</v>
      </c>
      <c r="S28" s="159">
        <f t="shared" si="20"/>
        <v>2765.7885197846317</v>
      </c>
      <c r="T28" s="159">
        <f t="shared" si="20"/>
        <v>2820.3538538451776</v>
      </c>
      <c r="U28" s="159">
        <f t="shared" si="20"/>
        <v>2874.9191879057239</v>
      </c>
      <c r="V28" s="159">
        <f t="shared" si="20"/>
        <v>2929.4845219662698</v>
      </c>
      <c r="W28" s="159">
        <f t="shared" si="20"/>
        <v>2984.0498560268161</v>
      </c>
      <c r="X28" s="159">
        <f t="shared" si="20"/>
        <v>3038.6151900873624</v>
      </c>
      <c r="Y28" s="159">
        <f t="shared" si="20"/>
        <v>3093.1805241479083</v>
      </c>
      <c r="Z28" s="159">
        <f t="shared" si="20"/>
        <v>3147.7458582084546</v>
      </c>
      <c r="AA28" s="159">
        <f t="shared" si="20"/>
        <v>3202.3111922690005</v>
      </c>
      <c r="AB28" s="159">
        <f t="shared" si="20"/>
        <v>3256.8765263295468</v>
      </c>
      <c r="AC28" s="159">
        <f t="shared" si="20"/>
        <v>3311.4418603900931</v>
      </c>
      <c r="AD28" s="159">
        <f t="shared" si="20"/>
        <v>3366.007194450639</v>
      </c>
      <c r="AE28" s="159">
        <f t="shared" si="20"/>
        <v>3420.5725285111853</v>
      </c>
      <c r="AF28" s="159">
        <f t="shared" si="20"/>
        <v>3475.1378625717311</v>
      </c>
      <c r="AG28" s="159">
        <f t="shared" si="20"/>
        <v>3529.7031966322775</v>
      </c>
      <c r="AH28" s="159">
        <f t="shared" si="20"/>
        <v>3584.2685306928233</v>
      </c>
      <c r="AI28" s="159">
        <f t="shared" si="20"/>
        <v>3638.8338647533697</v>
      </c>
      <c r="AJ28" s="159">
        <f t="shared" si="20"/>
        <v>3693.3991988139164</v>
      </c>
      <c r="AK28" s="159">
        <f t="shared" si="20"/>
        <v>3747.9645328744618</v>
      </c>
      <c r="AL28" s="159">
        <f t="shared" si="20"/>
        <v>3802.5298669350077</v>
      </c>
      <c r="AM28" s="159">
        <f t="shared" si="20"/>
        <v>3857.0952009955545</v>
      </c>
      <c r="AN28" s="159">
        <f t="shared" si="20"/>
        <v>3911.6605350561008</v>
      </c>
      <c r="AO28" s="159">
        <f t="shared" si="20"/>
        <v>3966.2258691166467</v>
      </c>
      <c r="AP28" s="159">
        <f t="shared" si="20"/>
        <v>4020.7912031771925</v>
      </c>
      <c r="AQ28" s="159">
        <f t="shared" si="20"/>
        <v>4075.3565372377388</v>
      </c>
      <c r="AR28" s="159">
        <f t="shared" si="20"/>
        <v>4129.9218712982856</v>
      </c>
      <c r="AS28" s="159">
        <f t="shared" si="20"/>
        <v>4184.4872053588315</v>
      </c>
    </row>
    <row r="29" spans="1:45">
      <c r="A29" s="26" t="str">
        <f>"PREFERRED (With "&amp;'BCA Summary'!E1&amp;") total annual truck stopped delay, hrs"</f>
        <v>PREFERRED (With BUILD Grant) total annual truck stopped delay, hrs</v>
      </c>
      <c r="E29" s="158">
        <f t="shared" ref="E29:AQ29" si="21">IF(E19="Yes",E25*$N$45,E28)</f>
        <v>2001.8738429369857</v>
      </c>
      <c r="F29" s="158">
        <f t="shared" si="21"/>
        <v>2056.4391769975318</v>
      </c>
      <c r="G29" s="158">
        <f t="shared" si="21"/>
        <v>2111.0045110580777</v>
      </c>
      <c r="H29" s="158">
        <f t="shared" si="21"/>
        <v>2165.569845118624</v>
      </c>
      <c r="I29" s="158">
        <f t="shared" si="21"/>
        <v>2220.1351791791703</v>
      </c>
      <c r="J29" s="158">
        <f t="shared" si="21"/>
        <v>2274.7005132397162</v>
      </c>
      <c r="K29" s="158">
        <f t="shared" si="21"/>
        <v>2329.2658473002625</v>
      </c>
      <c r="L29" s="158">
        <f t="shared" si="21"/>
        <v>2383.8311813608084</v>
      </c>
      <c r="M29" s="158">
        <f t="shared" si="21"/>
        <v>2438.3965154213547</v>
      </c>
      <c r="N29" s="158">
        <f t="shared" si="21"/>
        <v>2492.961849481901</v>
      </c>
      <c r="O29" s="158">
        <f t="shared" si="21"/>
        <v>2547.5271835424469</v>
      </c>
      <c r="P29" s="158">
        <f t="shared" si="21"/>
        <v>2602.0925176029932</v>
      </c>
      <c r="Q29" s="158">
        <f t="shared" si="21"/>
        <v>2656.6578516635391</v>
      </c>
      <c r="R29" s="158">
        <f t="shared" si="21"/>
        <v>2711.2231857240854</v>
      </c>
      <c r="S29" s="158">
        <f t="shared" si="21"/>
        <v>2765.7885197846317</v>
      </c>
      <c r="T29" s="158">
        <f t="shared" si="21"/>
        <v>28.94281272018581</v>
      </c>
      <c r="U29" s="158">
        <f t="shared" si="21"/>
        <v>29.333931810999132</v>
      </c>
      <c r="V29" s="158">
        <f t="shared" si="21"/>
        <v>29.725050901812452</v>
      </c>
      <c r="W29" s="158">
        <f t="shared" si="21"/>
        <v>30.116169992625775</v>
      </c>
      <c r="X29" s="158">
        <f t="shared" si="21"/>
        <v>30.507289083439094</v>
      </c>
      <c r="Y29" s="158">
        <f t="shared" si="21"/>
        <v>30.898408174252417</v>
      </c>
      <c r="Z29" s="158">
        <f t="shared" si="21"/>
        <v>31.289527265065736</v>
      </c>
      <c r="AA29" s="158">
        <f t="shared" si="21"/>
        <v>31.680646355879063</v>
      </c>
      <c r="AB29" s="158">
        <f t="shared" si="21"/>
        <v>32.071765446692382</v>
      </c>
      <c r="AC29" s="158">
        <f t="shared" si="21"/>
        <v>32.462884537505708</v>
      </c>
      <c r="AD29" s="158">
        <f t="shared" si="21"/>
        <v>32.854003628319028</v>
      </c>
      <c r="AE29" s="158">
        <f t="shared" si="21"/>
        <v>33.245122719132347</v>
      </c>
      <c r="AF29" s="158">
        <f t="shared" si="21"/>
        <v>33.636241809945673</v>
      </c>
      <c r="AG29" s="158">
        <f t="shared" si="21"/>
        <v>34.027360900758993</v>
      </c>
      <c r="AH29" s="158">
        <f t="shared" si="21"/>
        <v>34.418479991572312</v>
      </c>
      <c r="AI29" s="158">
        <f t="shared" si="21"/>
        <v>34.809599082385638</v>
      </c>
      <c r="AJ29" s="158">
        <f t="shared" si="21"/>
        <v>35.200718173198958</v>
      </c>
      <c r="AK29" s="158">
        <f t="shared" si="21"/>
        <v>35.591837264012284</v>
      </c>
      <c r="AL29" s="158">
        <f t="shared" si="21"/>
        <v>35.982956354825603</v>
      </c>
      <c r="AM29" s="158">
        <f t="shared" si="21"/>
        <v>36.374075445638923</v>
      </c>
      <c r="AN29" s="158">
        <f t="shared" si="21"/>
        <v>36.765194536452242</v>
      </c>
      <c r="AO29" s="158">
        <f t="shared" si="21"/>
        <v>37.156313627265568</v>
      </c>
      <c r="AP29" s="158">
        <f t="shared" si="21"/>
        <v>37.547432718078888</v>
      </c>
      <c r="AQ29" s="158">
        <f t="shared" si="21"/>
        <v>37.938551808892207</v>
      </c>
      <c r="AR29" s="158">
        <f t="shared" ref="AR29:AS29" si="22">IF(AR19="Yes",AR25*$N$45,AR28)</f>
        <v>38.329670899705526</v>
      </c>
      <c r="AS29" s="158">
        <f t="shared" si="22"/>
        <v>38.720789990518853</v>
      </c>
    </row>
    <row r="30" spans="1:45">
      <c r="A30" s="39" t="s">
        <v>30</v>
      </c>
      <c r="B30" s="40"/>
      <c r="C30" s="40"/>
      <c r="D30" s="40"/>
      <c r="E30" s="41">
        <f>E28-E29</f>
        <v>0</v>
      </c>
      <c r="F30" s="41">
        <f t="shared" ref="F30:AQ30" si="23">F28-F29</f>
        <v>0</v>
      </c>
      <c r="G30" s="41">
        <f t="shared" si="23"/>
        <v>0</v>
      </c>
      <c r="H30" s="41">
        <f t="shared" si="23"/>
        <v>0</v>
      </c>
      <c r="I30" s="41">
        <f t="shared" si="23"/>
        <v>0</v>
      </c>
      <c r="J30" s="41">
        <f t="shared" si="23"/>
        <v>0</v>
      </c>
      <c r="K30" s="41">
        <f t="shared" si="23"/>
        <v>0</v>
      </c>
      <c r="L30" s="41">
        <f t="shared" si="23"/>
        <v>0</v>
      </c>
      <c r="M30" s="41">
        <f t="shared" si="23"/>
        <v>0</v>
      </c>
      <c r="N30" s="41">
        <f t="shared" si="23"/>
        <v>0</v>
      </c>
      <c r="O30" s="41">
        <f t="shared" si="23"/>
        <v>0</v>
      </c>
      <c r="P30" s="41">
        <f t="shared" si="23"/>
        <v>0</v>
      </c>
      <c r="Q30" s="41">
        <f t="shared" si="23"/>
        <v>0</v>
      </c>
      <c r="R30" s="41">
        <f t="shared" si="23"/>
        <v>0</v>
      </c>
      <c r="S30" s="41">
        <f t="shared" si="23"/>
        <v>0</v>
      </c>
      <c r="T30" s="41">
        <f t="shared" si="23"/>
        <v>2791.4110411249917</v>
      </c>
      <c r="U30" s="41">
        <f t="shared" si="23"/>
        <v>2845.5852560947246</v>
      </c>
      <c r="V30" s="41">
        <f t="shared" si="23"/>
        <v>2899.7594710644571</v>
      </c>
      <c r="W30" s="41">
        <f t="shared" si="23"/>
        <v>2953.9336860341905</v>
      </c>
      <c r="X30" s="41">
        <f t="shared" si="23"/>
        <v>3008.1079010039234</v>
      </c>
      <c r="Y30" s="41">
        <f t="shared" si="23"/>
        <v>3062.2821159736559</v>
      </c>
      <c r="Z30" s="41">
        <f t="shared" si="23"/>
        <v>3116.4563309433888</v>
      </c>
      <c r="AA30" s="41">
        <f t="shared" si="23"/>
        <v>3170.6305459131213</v>
      </c>
      <c r="AB30" s="41">
        <f t="shared" si="23"/>
        <v>3224.8047608828542</v>
      </c>
      <c r="AC30" s="41">
        <f t="shared" si="23"/>
        <v>3278.9789758525876</v>
      </c>
      <c r="AD30" s="41">
        <f t="shared" si="23"/>
        <v>3333.1531908223201</v>
      </c>
      <c r="AE30" s="41">
        <f t="shared" si="23"/>
        <v>3387.327405792053</v>
      </c>
      <c r="AF30" s="41">
        <f t="shared" si="23"/>
        <v>3441.5016207617855</v>
      </c>
      <c r="AG30" s="41">
        <f t="shared" si="23"/>
        <v>3495.6758357315184</v>
      </c>
      <c r="AH30" s="41">
        <f t="shared" si="23"/>
        <v>3549.8500507012509</v>
      </c>
      <c r="AI30" s="41">
        <f t="shared" si="23"/>
        <v>3604.0242656709838</v>
      </c>
      <c r="AJ30" s="41">
        <f t="shared" si="23"/>
        <v>3658.1984806407177</v>
      </c>
      <c r="AK30" s="41">
        <f t="shared" si="23"/>
        <v>3712.3726956104497</v>
      </c>
      <c r="AL30" s="41">
        <f t="shared" si="23"/>
        <v>3766.5469105801822</v>
      </c>
      <c r="AM30" s="41">
        <f t="shared" si="23"/>
        <v>3820.7211255499155</v>
      </c>
      <c r="AN30" s="41">
        <f t="shared" si="23"/>
        <v>3874.8953405196485</v>
      </c>
      <c r="AO30" s="41">
        <f t="shared" si="23"/>
        <v>3929.0695554893809</v>
      </c>
      <c r="AP30" s="41">
        <f t="shared" si="23"/>
        <v>3983.2437704591134</v>
      </c>
      <c r="AQ30" s="41">
        <f t="shared" si="23"/>
        <v>4037.4179854288468</v>
      </c>
      <c r="AR30" s="41">
        <f t="shared" ref="AR30:AS30" si="24">AR28-AR29</f>
        <v>4091.5922003985802</v>
      </c>
      <c r="AS30" s="41">
        <f t="shared" si="24"/>
        <v>4145.7664153683127</v>
      </c>
    </row>
    <row r="31" spans="1:45">
      <c r="A31" s="23"/>
      <c r="B31"/>
      <c r="C31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</row>
    <row r="32" spans="1:45">
      <c r="A32" s="37" t="str">
        <f>"BASELINE (No "&amp;'BCA Summary'!E1&amp;") total annual passenger vehicle stopped delay, hrs"</f>
        <v>BASELINE (No BUILD Grant) total annual passenger vehicle stopped delay, hrs</v>
      </c>
      <c r="B32" s="38"/>
      <c r="C32" s="38"/>
      <c r="D32" s="38"/>
      <c r="E32" s="159">
        <f>E24-E28</f>
        <v>72318.40549413384</v>
      </c>
      <c r="F32" s="159">
        <f t="shared" ref="F32:AQ33" si="25">F24-F28</f>
        <v>74289.59761917009</v>
      </c>
      <c r="G32" s="159">
        <f t="shared" si="25"/>
        <v>76260.78974420634</v>
      </c>
      <c r="H32" s="159">
        <f t="shared" si="25"/>
        <v>78231.981869242605</v>
      </c>
      <c r="I32" s="159">
        <f t="shared" si="25"/>
        <v>80203.173994278855</v>
      </c>
      <c r="J32" s="159">
        <f t="shared" si="25"/>
        <v>82174.366119315106</v>
      </c>
      <c r="K32" s="159">
        <f t="shared" si="25"/>
        <v>84145.558244351356</v>
      </c>
      <c r="L32" s="159">
        <f t="shared" si="25"/>
        <v>86116.750369387621</v>
      </c>
      <c r="M32" s="159">
        <f t="shared" si="25"/>
        <v>88087.942494423871</v>
      </c>
      <c r="N32" s="159">
        <f t="shared" si="25"/>
        <v>90059.134619460121</v>
      </c>
      <c r="O32" s="159">
        <f t="shared" si="25"/>
        <v>92030.326744496371</v>
      </c>
      <c r="P32" s="159">
        <f t="shared" si="25"/>
        <v>94001.518869532621</v>
      </c>
      <c r="Q32" s="159">
        <f t="shared" si="25"/>
        <v>95972.710994568886</v>
      </c>
      <c r="R32" s="159">
        <f t="shared" si="25"/>
        <v>97943.903119605136</v>
      </c>
      <c r="S32" s="159">
        <f t="shared" si="25"/>
        <v>99915.095244641387</v>
      </c>
      <c r="T32" s="159">
        <f t="shared" si="25"/>
        <v>101886.28736967764</v>
      </c>
      <c r="U32" s="159">
        <f t="shared" si="25"/>
        <v>103857.4794947139</v>
      </c>
      <c r="V32" s="159">
        <f t="shared" si="25"/>
        <v>105828.67161975015</v>
      </c>
      <c r="W32" s="159">
        <f t="shared" si="25"/>
        <v>107799.8637447864</v>
      </c>
      <c r="X32" s="159">
        <f t="shared" si="25"/>
        <v>109771.05586982265</v>
      </c>
      <c r="Y32" s="159">
        <f t="shared" si="25"/>
        <v>111742.24799485892</v>
      </c>
      <c r="Z32" s="159">
        <f t="shared" si="25"/>
        <v>113713.44011989517</v>
      </c>
      <c r="AA32" s="159">
        <f t="shared" si="25"/>
        <v>115684.63224493142</v>
      </c>
      <c r="AB32" s="159">
        <f t="shared" si="25"/>
        <v>117655.82436996767</v>
      </c>
      <c r="AC32" s="159">
        <f t="shared" si="25"/>
        <v>119627.01649500392</v>
      </c>
      <c r="AD32" s="159">
        <f t="shared" si="25"/>
        <v>121598.20862004018</v>
      </c>
      <c r="AE32" s="159">
        <f t="shared" si="25"/>
        <v>123569.40074507643</v>
      </c>
      <c r="AF32" s="159">
        <f t="shared" si="25"/>
        <v>125540.59287011268</v>
      </c>
      <c r="AG32" s="159">
        <f t="shared" si="25"/>
        <v>127511.78499514893</v>
      </c>
      <c r="AH32" s="159">
        <f t="shared" si="25"/>
        <v>129482.97712018518</v>
      </c>
      <c r="AI32" s="159">
        <f t="shared" si="25"/>
        <v>131454.16924522145</v>
      </c>
      <c r="AJ32" s="159">
        <f t="shared" si="25"/>
        <v>133425.36137025771</v>
      </c>
      <c r="AK32" s="159">
        <f t="shared" si="25"/>
        <v>135396.55349529395</v>
      </c>
      <c r="AL32" s="159">
        <f t="shared" si="25"/>
        <v>137367.74562033018</v>
      </c>
      <c r="AM32" s="159">
        <f t="shared" si="25"/>
        <v>139338.93774536645</v>
      </c>
      <c r="AN32" s="159">
        <f t="shared" si="25"/>
        <v>141310.12987040271</v>
      </c>
      <c r="AO32" s="159">
        <f t="shared" si="25"/>
        <v>143281.32199543898</v>
      </c>
      <c r="AP32" s="159">
        <f t="shared" si="25"/>
        <v>145252.51412047521</v>
      </c>
      <c r="AQ32" s="159">
        <f t="shared" si="25"/>
        <v>147223.70624551148</v>
      </c>
      <c r="AR32" s="159">
        <f t="shared" ref="AR32:AS32" si="26">AR24-AR28</f>
        <v>149194.89837054774</v>
      </c>
      <c r="AS32" s="159">
        <f t="shared" si="26"/>
        <v>151166.09049558398</v>
      </c>
    </row>
    <row r="33" spans="1:45">
      <c r="A33" s="26" t="str">
        <f>"PREFERRED (With "&amp;'BCA Summary'!E1&amp;") total annual passenger vehicle stopped delay, hrs"</f>
        <v>PREFERRED (With BUILD Grant) total annual passenger vehicle stopped delay, hrs</v>
      </c>
      <c r="E33" s="48">
        <f>E25-E29</f>
        <v>72318.40549413384</v>
      </c>
      <c r="F33" s="48">
        <f t="shared" si="25"/>
        <v>74289.59761917009</v>
      </c>
      <c r="G33" s="48">
        <f t="shared" si="25"/>
        <v>76260.78974420634</v>
      </c>
      <c r="H33" s="48">
        <f t="shared" si="25"/>
        <v>78231.981869242605</v>
      </c>
      <c r="I33" s="48">
        <f t="shared" si="25"/>
        <v>80203.173994278855</v>
      </c>
      <c r="J33" s="48">
        <f t="shared" si="25"/>
        <v>82174.366119315106</v>
      </c>
      <c r="K33" s="48">
        <f t="shared" si="25"/>
        <v>84145.558244351356</v>
      </c>
      <c r="L33" s="48">
        <f t="shared" si="25"/>
        <v>86116.750369387621</v>
      </c>
      <c r="M33" s="48">
        <f t="shared" si="25"/>
        <v>88087.942494423871</v>
      </c>
      <c r="N33" s="48">
        <f t="shared" si="25"/>
        <v>90059.134619460121</v>
      </c>
      <c r="O33" s="48">
        <f t="shared" si="25"/>
        <v>92030.326744496371</v>
      </c>
      <c r="P33" s="48">
        <f t="shared" si="25"/>
        <v>94001.518869532621</v>
      </c>
      <c r="Q33" s="48">
        <f t="shared" si="25"/>
        <v>95972.710994568886</v>
      </c>
      <c r="R33" s="48">
        <f t="shared" si="25"/>
        <v>97943.903119605136</v>
      </c>
      <c r="S33" s="48">
        <f t="shared" si="25"/>
        <v>99915.095244641387</v>
      </c>
      <c r="T33" s="48">
        <f t="shared" si="25"/>
        <v>690.77961688813423</v>
      </c>
      <c r="U33" s="48">
        <f t="shared" si="25"/>
        <v>700.11447657581164</v>
      </c>
      <c r="V33" s="48">
        <f t="shared" si="25"/>
        <v>709.44933626348916</v>
      </c>
      <c r="W33" s="48">
        <f t="shared" si="25"/>
        <v>718.78419595116657</v>
      </c>
      <c r="X33" s="48">
        <f t="shared" si="25"/>
        <v>728.11905563884409</v>
      </c>
      <c r="Y33" s="48">
        <f t="shared" si="25"/>
        <v>737.45391532652161</v>
      </c>
      <c r="Z33" s="48">
        <f t="shared" si="25"/>
        <v>746.78877501419902</v>
      </c>
      <c r="AA33" s="48">
        <f t="shared" si="25"/>
        <v>756.12363470187665</v>
      </c>
      <c r="AB33" s="48">
        <f t="shared" si="25"/>
        <v>765.45849438955406</v>
      </c>
      <c r="AC33" s="48">
        <f t="shared" si="25"/>
        <v>774.79335407723158</v>
      </c>
      <c r="AD33" s="48">
        <f t="shared" si="25"/>
        <v>784.12821376490911</v>
      </c>
      <c r="AE33" s="48">
        <f t="shared" si="25"/>
        <v>793.46307345258651</v>
      </c>
      <c r="AF33" s="48">
        <f t="shared" si="25"/>
        <v>802.79793314026404</v>
      </c>
      <c r="AG33" s="48">
        <f t="shared" si="25"/>
        <v>812.13279282794156</v>
      </c>
      <c r="AH33" s="48">
        <f t="shared" si="25"/>
        <v>821.46765251561897</v>
      </c>
      <c r="AI33" s="48">
        <f t="shared" si="25"/>
        <v>830.8025122032966</v>
      </c>
      <c r="AJ33" s="48">
        <f t="shared" si="25"/>
        <v>840.13737189097401</v>
      </c>
      <c r="AK33" s="48">
        <f t="shared" si="25"/>
        <v>849.47223157865153</v>
      </c>
      <c r="AL33" s="48">
        <f t="shared" si="25"/>
        <v>858.80709126632905</v>
      </c>
      <c r="AM33" s="48">
        <f t="shared" si="25"/>
        <v>868.14195095400646</v>
      </c>
      <c r="AN33" s="48">
        <f t="shared" si="25"/>
        <v>877.47681064168398</v>
      </c>
      <c r="AO33" s="48">
        <f t="shared" si="25"/>
        <v>886.81167032936139</v>
      </c>
      <c r="AP33" s="48">
        <f t="shared" si="25"/>
        <v>896.14653001703891</v>
      </c>
      <c r="AQ33" s="48">
        <f t="shared" si="25"/>
        <v>905.48138970471643</v>
      </c>
      <c r="AR33" s="48">
        <f t="shared" ref="AR33:AS33" si="27">AR25-AR29</f>
        <v>914.81624939239384</v>
      </c>
      <c r="AS33" s="48">
        <f t="shared" si="27"/>
        <v>924.15110908007136</v>
      </c>
    </row>
    <row r="34" spans="1:45">
      <c r="A34" s="39" t="s">
        <v>30</v>
      </c>
      <c r="B34" s="40"/>
      <c r="C34" s="40"/>
      <c r="D34" s="40"/>
      <c r="E34" s="41">
        <f>E32-E33</f>
        <v>0</v>
      </c>
      <c r="F34" s="41">
        <f t="shared" ref="F34:AQ34" si="28">F32-F33</f>
        <v>0</v>
      </c>
      <c r="G34" s="41">
        <f t="shared" si="28"/>
        <v>0</v>
      </c>
      <c r="H34" s="41">
        <f t="shared" si="28"/>
        <v>0</v>
      </c>
      <c r="I34" s="41">
        <f t="shared" si="28"/>
        <v>0</v>
      </c>
      <c r="J34" s="41">
        <f t="shared" si="28"/>
        <v>0</v>
      </c>
      <c r="K34" s="41">
        <f t="shared" si="28"/>
        <v>0</v>
      </c>
      <c r="L34" s="41">
        <f t="shared" si="28"/>
        <v>0</v>
      </c>
      <c r="M34" s="41">
        <f t="shared" si="28"/>
        <v>0</v>
      </c>
      <c r="N34" s="41">
        <f t="shared" si="28"/>
        <v>0</v>
      </c>
      <c r="O34" s="41">
        <f t="shared" si="28"/>
        <v>0</v>
      </c>
      <c r="P34" s="41">
        <f t="shared" si="28"/>
        <v>0</v>
      </c>
      <c r="Q34" s="41">
        <f t="shared" si="28"/>
        <v>0</v>
      </c>
      <c r="R34" s="41">
        <f t="shared" si="28"/>
        <v>0</v>
      </c>
      <c r="S34" s="41">
        <f t="shared" si="28"/>
        <v>0</v>
      </c>
      <c r="T34" s="41">
        <f t="shared" si="28"/>
        <v>101195.5077527895</v>
      </c>
      <c r="U34" s="41">
        <f t="shared" si="28"/>
        <v>103157.36501813809</v>
      </c>
      <c r="V34" s="41">
        <f t="shared" si="28"/>
        <v>105119.22228348667</v>
      </c>
      <c r="W34" s="41">
        <f t="shared" si="28"/>
        <v>107081.07954883523</v>
      </c>
      <c r="X34" s="41">
        <f t="shared" si="28"/>
        <v>109042.93681418381</v>
      </c>
      <c r="Y34" s="41">
        <f t="shared" si="28"/>
        <v>111004.7940795324</v>
      </c>
      <c r="Z34" s="41">
        <f t="shared" si="28"/>
        <v>112966.65134488097</v>
      </c>
      <c r="AA34" s="41">
        <f t="shared" si="28"/>
        <v>114928.50861022955</v>
      </c>
      <c r="AB34" s="41">
        <f t="shared" si="28"/>
        <v>116890.36587557811</v>
      </c>
      <c r="AC34" s="41">
        <f t="shared" si="28"/>
        <v>118852.22314092668</v>
      </c>
      <c r="AD34" s="41">
        <f t="shared" si="28"/>
        <v>120814.08040627527</v>
      </c>
      <c r="AE34" s="41">
        <f t="shared" si="28"/>
        <v>122775.93767162385</v>
      </c>
      <c r="AF34" s="41">
        <f t="shared" si="28"/>
        <v>124737.79493697242</v>
      </c>
      <c r="AG34" s="41">
        <f t="shared" si="28"/>
        <v>126699.652202321</v>
      </c>
      <c r="AH34" s="41">
        <f t="shared" si="28"/>
        <v>128661.50946766956</v>
      </c>
      <c r="AI34" s="41">
        <f t="shared" si="28"/>
        <v>130623.36673301815</v>
      </c>
      <c r="AJ34" s="41">
        <f t="shared" si="28"/>
        <v>132585.22399836674</v>
      </c>
      <c r="AK34" s="41">
        <f t="shared" si="28"/>
        <v>134547.08126371528</v>
      </c>
      <c r="AL34" s="41">
        <f t="shared" si="28"/>
        <v>136508.93852906386</v>
      </c>
      <c r="AM34" s="41">
        <f t="shared" si="28"/>
        <v>138470.79579441244</v>
      </c>
      <c r="AN34" s="41">
        <f t="shared" si="28"/>
        <v>140432.65305976104</v>
      </c>
      <c r="AO34" s="41">
        <f t="shared" si="28"/>
        <v>142394.51032510962</v>
      </c>
      <c r="AP34" s="41">
        <f t="shared" si="28"/>
        <v>144356.36759045816</v>
      </c>
      <c r="AQ34" s="41">
        <f t="shared" si="28"/>
        <v>146318.22485580677</v>
      </c>
      <c r="AR34" s="41">
        <f t="shared" ref="AR34:AS34" si="29">AR32-AR33</f>
        <v>148280.08212115534</v>
      </c>
      <c r="AS34" s="41">
        <f t="shared" si="29"/>
        <v>150241.93938650392</v>
      </c>
    </row>
    <row r="35" spans="1:45">
      <c r="D35"/>
    </row>
    <row r="36" spans="1:45">
      <c r="D36" s="64"/>
      <c r="E36" s="61"/>
    </row>
    <row r="37" spans="1:45" ht="16" thickBot="1">
      <c r="A37" s="32" t="s">
        <v>27</v>
      </c>
      <c r="B37" s="32"/>
      <c r="C37" s="32"/>
      <c r="D37" s="3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6"/>
      <c r="V37" s="46"/>
      <c r="W37" s="46"/>
    </row>
    <row r="38" spans="1:45" ht="14">
      <c r="A38" t="s">
        <v>286</v>
      </c>
      <c r="D38"/>
      <c r="E38" s="1">
        <f>'Summary of Benefits'!D168</f>
        <v>345</v>
      </c>
      <c r="F38" s="110" t="s">
        <v>32</v>
      </c>
      <c r="G38"/>
      <c r="H38" s="1"/>
    </row>
    <row r="39" spans="1:45">
      <c r="E39" s="1"/>
      <c r="F39" s="1"/>
      <c r="G39" s="1"/>
      <c r="H39" s="1"/>
    </row>
    <row r="40" spans="1:45" ht="16" thickBot="1">
      <c r="A40" s="32" t="s">
        <v>287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45">
      <c r="E41" s="1"/>
      <c r="J41" s="1"/>
      <c r="K41" s="1"/>
      <c r="L41" s="25">
        <v>2018</v>
      </c>
      <c r="M41" s="25">
        <v>2040</v>
      </c>
      <c r="N41" s="25"/>
      <c r="O41" s="1"/>
      <c r="P41" s="1"/>
      <c r="Q41" s="25"/>
      <c r="R41" s="25"/>
    </row>
    <row r="42" spans="1:45" ht="15">
      <c r="A42" s="31" t="s">
        <v>288</v>
      </c>
      <c r="E42" s="1"/>
      <c r="F42" s="1"/>
      <c r="G42" s="25"/>
      <c r="H42" s="25"/>
      <c r="I42" s="25"/>
      <c r="J42" s="1"/>
      <c r="K42" s="1"/>
      <c r="L42" s="30" t="s">
        <v>81</v>
      </c>
      <c r="M42" s="30" t="s">
        <v>81</v>
      </c>
      <c r="N42" s="25"/>
      <c r="O42" s="1"/>
      <c r="P42" s="1"/>
      <c r="Q42" s="25"/>
      <c r="R42" s="30"/>
    </row>
    <row r="43" spans="1:45" ht="56">
      <c r="A43" t="s">
        <v>289</v>
      </c>
      <c r="E43" s="197" t="s">
        <v>290</v>
      </c>
      <c r="F43" s="197" t="s">
        <v>155</v>
      </c>
      <c r="G43" s="197" t="s">
        <v>151</v>
      </c>
      <c r="H43" s="197" t="s">
        <v>152</v>
      </c>
      <c r="I43" s="197" t="s">
        <v>153</v>
      </c>
      <c r="J43" s="197" t="s">
        <v>154</v>
      </c>
      <c r="K43" s="197" t="s">
        <v>157</v>
      </c>
      <c r="L43" s="197" t="s">
        <v>158</v>
      </c>
      <c r="M43" s="197" t="s">
        <v>158</v>
      </c>
      <c r="N43" s="197" t="s">
        <v>159</v>
      </c>
      <c r="Z43" s="51"/>
    </row>
    <row r="44" spans="1:45" ht="14">
      <c r="B44" s="1" t="s">
        <v>291</v>
      </c>
      <c r="E44" s="33">
        <v>3445</v>
      </c>
      <c r="F44" s="33">
        <v>5225</v>
      </c>
      <c r="G44" s="94" t="s">
        <v>292</v>
      </c>
      <c r="H44" s="205">
        <f>G60</f>
        <v>45</v>
      </c>
      <c r="I44" s="205">
        <f>E60</f>
        <v>1</v>
      </c>
      <c r="J44" s="198">
        <f>H44*I44*(1/60)</f>
        <v>0.75</v>
      </c>
      <c r="K44" s="96">
        <f>J44/24</f>
        <v>3.125E-2</v>
      </c>
      <c r="L44" s="94">
        <f>E44*K44*(J44/2)</f>
        <v>40.37109375</v>
      </c>
      <c r="M44" s="94">
        <f>F44*K44*(J44/2)</f>
        <v>61.23046875</v>
      </c>
      <c r="N44" s="199">
        <f>Traffic!D134</f>
        <v>4.0213854021385401E-2</v>
      </c>
      <c r="O44" t="s">
        <v>239</v>
      </c>
      <c r="Z44" s="51"/>
    </row>
    <row r="45" spans="1:45">
      <c r="B45" s="1" t="s">
        <v>293</v>
      </c>
      <c r="E45" s="33">
        <v>3445</v>
      </c>
      <c r="F45" s="33">
        <v>5225</v>
      </c>
      <c r="G45" s="94">
        <f>$F$64</f>
        <v>20.5</v>
      </c>
      <c r="H45" s="205">
        <f>E53/(G45*5280/60)</f>
        <v>4.434589800443459</v>
      </c>
      <c r="I45" s="94">
        <f>E64-I44</f>
        <v>10.199999999999999</v>
      </c>
      <c r="J45" s="198">
        <f>H45*I45*(1/60)</f>
        <v>0.75388026607538794</v>
      </c>
      <c r="K45" s="96">
        <f>J45/24</f>
        <v>3.1411677753141166E-2</v>
      </c>
      <c r="L45" s="94">
        <f>E45*K45*(J45/2)</f>
        <v>40.789909259705368</v>
      </c>
      <c r="M45" s="94">
        <f>F45*K45*(J45/2)</f>
        <v>61.865682404052414</v>
      </c>
      <c r="N45" s="199">
        <f>Traffic!D134</f>
        <v>4.0213854021385401E-2</v>
      </c>
      <c r="Z45" s="51"/>
    </row>
    <row r="46" spans="1:45" ht="14">
      <c r="E46" s="25"/>
      <c r="F46" s="25"/>
      <c r="G46" s="25"/>
      <c r="H46" s="205"/>
      <c r="I46" s="205"/>
      <c r="J46" s="198"/>
      <c r="K46" s="96" t="s">
        <v>90</v>
      </c>
      <c r="L46" s="94">
        <f>SUM(L44:L45)</f>
        <v>81.161003009705368</v>
      </c>
      <c r="M46" s="94">
        <f>SUM(M44:M45)</f>
        <v>123.09615115405242</v>
      </c>
      <c r="N46" s="25"/>
      <c r="Z46" s="51"/>
    </row>
    <row r="47" spans="1:45" ht="28">
      <c r="A47" t="s">
        <v>294</v>
      </c>
      <c r="E47" s="197"/>
      <c r="F47" s="197"/>
      <c r="G47" s="197"/>
      <c r="H47" s="205"/>
      <c r="I47" s="205"/>
      <c r="J47" s="197"/>
      <c r="K47" s="197"/>
      <c r="L47" s="30" t="s">
        <v>295</v>
      </c>
      <c r="M47" s="30" t="s">
        <v>295</v>
      </c>
      <c r="N47" s="197"/>
      <c r="Z47" s="61"/>
    </row>
    <row r="48" spans="1:45" ht="14">
      <c r="B48" s="1" t="s">
        <v>291</v>
      </c>
      <c r="E48" s="33">
        <v>0</v>
      </c>
      <c r="F48" s="33">
        <v>0</v>
      </c>
      <c r="G48" s="94" t="s">
        <v>292</v>
      </c>
      <c r="H48" s="205">
        <f>G61</f>
        <v>35</v>
      </c>
      <c r="I48" s="205">
        <f>E61</f>
        <v>1</v>
      </c>
      <c r="J48" s="198">
        <f>H48*I48*(1/60)</f>
        <v>0.58333333333333337</v>
      </c>
      <c r="K48" s="96">
        <f>J48/24</f>
        <v>2.4305555555555556E-2</v>
      </c>
      <c r="L48" s="94">
        <f>E48*K48*(J48/2)</f>
        <v>0</v>
      </c>
      <c r="M48" s="94">
        <f>F48*K48*(J48/2)</f>
        <v>0</v>
      </c>
      <c r="N48" s="183">
        <f>Traffic!D134</f>
        <v>4.0213854021385401E-2</v>
      </c>
    </row>
    <row r="49" spans="1:15">
      <c r="B49" s="1" t="s">
        <v>293</v>
      </c>
      <c r="E49" s="33">
        <v>150</v>
      </c>
      <c r="F49" s="33">
        <v>200</v>
      </c>
      <c r="G49" s="94">
        <f>$F$64</f>
        <v>20.5</v>
      </c>
      <c r="H49" s="205">
        <f>E53/(G49*5280/60)</f>
        <v>4.434589800443459</v>
      </c>
      <c r="I49" s="94">
        <f>E65-E61</f>
        <v>10.199999999999999</v>
      </c>
      <c r="J49" s="198">
        <f>H49*I49*(1/60)</f>
        <v>0.75388026607538794</v>
      </c>
      <c r="K49" s="96">
        <f>J49/24</f>
        <v>3.1411677753141166E-2</v>
      </c>
      <c r="L49" s="94">
        <f>E49*K49*(J49/2)</f>
        <v>1.7760482986809307</v>
      </c>
      <c r="M49" s="94">
        <f>F49*K49*(J49/2)</f>
        <v>2.3680643982412408</v>
      </c>
      <c r="N49" s="183">
        <f>Traffic!D134</f>
        <v>4.0213854021385401E-2</v>
      </c>
    </row>
    <row r="50" spans="1:15" ht="14">
      <c r="E50" s="25"/>
      <c r="F50" s="25"/>
      <c r="G50" s="25"/>
      <c r="H50" s="25"/>
      <c r="I50" s="25"/>
      <c r="J50" s="25"/>
      <c r="K50" s="96" t="s">
        <v>90</v>
      </c>
      <c r="L50" s="94">
        <f>SUM(L48:L49)</f>
        <v>1.7760482986809307</v>
      </c>
      <c r="M50" s="94">
        <f>SUM(M48:M49)</f>
        <v>2.3680643982412408</v>
      </c>
      <c r="N50" s="25"/>
    </row>
    <row r="51" spans="1:15" ht="56">
      <c r="A51" s="1" t="s">
        <v>64</v>
      </c>
      <c r="E51" s="197" t="s">
        <v>290</v>
      </c>
      <c r="F51" s="197" t="s">
        <v>155</v>
      </c>
      <c r="G51" s="197" t="s">
        <v>151</v>
      </c>
      <c r="H51" s="197" t="s">
        <v>152</v>
      </c>
      <c r="I51" s="197" t="s">
        <v>153</v>
      </c>
      <c r="J51" s="197" t="s">
        <v>154</v>
      </c>
      <c r="K51" s="197" t="s">
        <v>157</v>
      </c>
      <c r="L51" s="197" t="s">
        <v>158</v>
      </c>
      <c r="M51" s="197" t="s">
        <v>158</v>
      </c>
      <c r="N51" s="197" t="s">
        <v>159</v>
      </c>
    </row>
    <row r="52" spans="1:15">
      <c r="B52" s="1" t="s">
        <v>81</v>
      </c>
      <c r="E52" s="33">
        <v>11050</v>
      </c>
      <c r="F52" s="33">
        <v>16750</v>
      </c>
      <c r="G52" s="94">
        <f>$F$64</f>
        <v>20.5</v>
      </c>
      <c r="H52" s="94">
        <f>E53/(G52*5280/60)</f>
        <v>4.434589800443459</v>
      </c>
      <c r="I52" s="94">
        <f>E64</f>
        <v>11.2</v>
      </c>
      <c r="J52" s="198">
        <f>H52*I52*(1/60)</f>
        <v>0.82779009608277898</v>
      </c>
      <c r="K52" s="96">
        <f>J52/24</f>
        <v>3.4491254003449122E-2</v>
      </c>
      <c r="L52" s="94">
        <f>E52*K52*(J52/2)</f>
        <v>157.74713952205704</v>
      </c>
      <c r="M52" s="94">
        <f>F52*K52*(J52/2)</f>
        <v>239.11896714881948</v>
      </c>
      <c r="N52" s="199">
        <f>Traffic!D133</f>
        <v>2.6935768551914666E-2</v>
      </c>
      <c r="O52" t="s">
        <v>238</v>
      </c>
    </row>
    <row r="53" spans="1:15" ht="14">
      <c r="D53" s="200" t="s">
        <v>296</v>
      </c>
      <c r="E53" s="204">
        <v>8000</v>
      </c>
      <c r="F53" s="201" t="s">
        <v>297</v>
      </c>
      <c r="G53" s="202" t="s">
        <v>298</v>
      </c>
      <c r="H53" s="25"/>
      <c r="I53" s="25"/>
      <c r="J53" s="25"/>
      <c r="K53" s="25"/>
      <c r="L53" s="25"/>
      <c r="M53" s="200" t="s">
        <v>299</v>
      </c>
      <c r="N53" s="183">
        <f>Traffic!D133</f>
        <v>2.6935768551914666E-2</v>
      </c>
    </row>
    <row r="54" spans="1:15">
      <c r="E54" s="25"/>
      <c r="F54" s="25"/>
      <c r="G54" s="25"/>
      <c r="H54" s="25"/>
      <c r="I54" s="25"/>
      <c r="J54" s="25"/>
      <c r="K54" s="25"/>
      <c r="L54" s="25"/>
      <c r="M54" s="25"/>
      <c r="N54" s="25"/>
    </row>
    <row r="55" spans="1:15" ht="15">
      <c r="A55" s="31" t="s">
        <v>300</v>
      </c>
    </row>
    <row r="56" spans="1:15">
      <c r="A56" t="s">
        <v>301</v>
      </c>
      <c r="E56" s="197"/>
      <c r="F56" s="197"/>
      <c r="G56" s="197"/>
      <c r="H56" s="197"/>
    </row>
    <row r="57" spans="1:15" ht="14">
      <c r="A57"/>
      <c r="B57" s="1" t="s">
        <v>302</v>
      </c>
      <c r="E57" s="169">
        <v>45</v>
      </c>
      <c r="F57" s="22" t="s">
        <v>303</v>
      </c>
      <c r="G57" s="202" t="s">
        <v>298</v>
      </c>
    </row>
    <row r="58" spans="1:15" ht="14">
      <c r="B58" s="1" t="s">
        <v>304</v>
      </c>
      <c r="E58" s="169">
        <v>10</v>
      </c>
      <c r="F58" s="22" t="s">
        <v>303</v>
      </c>
      <c r="G58" s="202" t="s">
        <v>298</v>
      </c>
    </row>
    <row r="59" spans="1:15" ht="42">
      <c r="A59" t="s">
        <v>301</v>
      </c>
      <c r="E59" s="197" t="s">
        <v>153</v>
      </c>
      <c r="F59" s="197" t="s">
        <v>305</v>
      </c>
      <c r="G59" s="197" t="s">
        <v>306</v>
      </c>
      <c r="H59" s="197" t="s">
        <v>307</v>
      </c>
    </row>
    <row r="60" spans="1:15">
      <c r="B60" s="1" t="s">
        <v>81</v>
      </c>
      <c r="E60" s="33">
        <v>1</v>
      </c>
      <c r="F60" s="25">
        <f>E57</f>
        <v>45</v>
      </c>
      <c r="G60" s="94">
        <f>E60*F60</f>
        <v>45</v>
      </c>
      <c r="H60" s="94">
        <f>G60/60</f>
        <v>0.75</v>
      </c>
    </row>
    <row r="61" spans="1:15">
      <c r="B61" t="s">
        <v>295</v>
      </c>
      <c r="E61" s="33">
        <v>1</v>
      </c>
      <c r="F61" s="25">
        <f>F60-E58</f>
        <v>35</v>
      </c>
      <c r="G61" s="94">
        <f>E61*F61</f>
        <v>35</v>
      </c>
      <c r="H61" s="94">
        <f>G61/60</f>
        <v>0.58333333333333337</v>
      </c>
    </row>
    <row r="63" spans="1:15" ht="42">
      <c r="A63" s="1" t="s">
        <v>308</v>
      </c>
      <c r="E63" s="197" t="s">
        <v>153</v>
      </c>
      <c r="F63" s="197" t="s">
        <v>151</v>
      </c>
      <c r="G63" s="197" t="s">
        <v>309</v>
      </c>
      <c r="H63" s="25" t="s">
        <v>310</v>
      </c>
    </row>
    <row r="64" spans="1:15">
      <c r="B64" s="1" t="s">
        <v>81</v>
      </c>
      <c r="E64" s="33">
        <v>11.2</v>
      </c>
      <c r="F64" s="33">
        <v>20.5</v>
      </c>
      <c r="G64" s="94">
        <f>E53/(F64*5280/60)</f>
        <v>4.434589800443459</v>
      </c>
      <c r="H64" s="203">
        <f>(E64*G64)/60</f>
        <v>0.82779009608277898</v>
      </c>
    </row>
    <row r="65" spans="2:8">
      <c r="B65" t="s">
        <v>295</v>
      </c>
      <c r="E65" s="33">
        <v>11.2</v>
      </c>
      <c r="F65" s="33">
        <v>50</v>
      </c>
      <c r="G65" s="94">
        <f>E53/(F65*5280/60)</f>
        <v>1.8181818181818181</v>
      </c>
      <c r="H65" s="203">
        <f>(E65*G65)/60</f>
        <v>0.33939393939393941</v>
      </c>
    </row>
    <row r="66" spans="2:8">
      <c r="G66" s="202" t="s">
        <v>311</v>
      </c>
    </row>
  </sheetData>
  <pageMargins left="0.7" right="0.7" top="0.75" bottom="0.75" header="0.3" footer="0.3"/>
  <pageSetup paperSize="3" scale="5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6"/>
  </sheetPr>
  <dimension ref="A1:AY51"/>
  <sheetViews>
    <sheetView topLeftCell="A9" zoomScale="150" zoomScaleNormal="100" workbookViewId="0">
      <selection activeCell="A38" sqref="A38"/>
    </sheetView>
  </sheetViews>
  <sheetFormatPr baseColWidth="10" defaultColWidth="9.19921875" defaultRowHeight="13"/>
  <cols>
    <col min="1" max="2" width="3.3984375" style="1" customWidth="1"/>
    <col min="3" max="3" width="67.19921875" style="1" customWidth="1"/>
    <col min="4" max="4" width="13.19921875" style="22" customWidth="1"/>
    <col min="5" max="5" width="14.3984375" style="22" bestFit="1" customWidth="1"/>
    <col min="6" max="10" width="13.19921875" style="22" customWidth="1"/>
    <col min="11" max="11" width="14" style="22" customWidth="1"/>
    <col min="12" max="12" width="13.19921875" style="22" customWidth="1"/>
    <col min="13" max="29" width="13.19921875" style="22" bestFit="1" customWidth="1"/>
    <col min="30" max="30" width="13.19921875" style="1" bestFit="1" customWidth="1"/>
    <col min="31" max="31" width="11.3984375" style="1" bestFit="1" customWidth="1"/>
    <col min="32" max="32" width="10.19921875" style="1" bestFit="1" customWidth="1"/>
    <col min="33" max="35" width="11.3984375" style="1" bestFit="1" customWidth="1"/>
    <col min="36" max="36" width="10.19921875" style="1" bestFit="1" customWidth="1"/>
    <col min="37" max="39" width="11.3984375" style="1" bestFit="1" customWidth="1"/>
    <col min="40" max="40" width="10.19921875" style="1" bestFit="1" customWidth="1"/>
    <col min="41" max="41" width="11.3984375" style="1" bestFit="1" customWidth="1"/>
    <col min="42" max="42" width="10.19921875" style="1" bestFit="1" customWidth="1"/>
    <col min="43" max="43" width="11.3984375" style="1" bestFit="1" customWidth="1"/>
    <col min="44" max="44" width="10.19921875" style="1" bestFit="1" customWidth="1"/>
    <col min="45" max="45" width="11.3984375" style="1" bestFit="1" customWidth="1"/>
    <col min="46" max="16384" width="9.19921875" style="1"/>
  </cols>
  <sheetData>
    <row r="1" spans="1:44" ht="20" thickBot="1">
      <c r="A1" s="19" t="s">
        <v>181</v>
      </c>
      <c r="B1" s="19"/>
      <c r="C1" s="19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</row>
    <row r="2" spans="1:44" ht="19" thickTop="1" thickBot="1">
      <c r="A2" s="2" t="str">
        <f>'BCA Summary'!A2</f>
        <v>US 85/120th Avenue Grade-Separation and Interchange Project</v>
      </c>
      <c r="B2" s="17"/>
      <c r="C2" s="17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</row>
    <row r="3" spans="1:44" ht="14" thickTop="1">
      <c r="A3" s="23"/>
      <c r="B3" s="23"/>
      <c r="C3" s="23"/>
    </row>
    <row r="4" spans="1:44" s="18" customFormat="1" ht="17">
      <c r="A4" s="24"/>
      <c r="B4" s="24"/>
      <c r="C4" s="24"/>
      <c r="D4" s="150">
        <f>'Summary of Benefits'!E4</f>
        <v>2015</v>
      </c>
      <c r="E4" s="150">
        <f>'Summary of Benefits'!F4</f>
        <v>2016</v>
      </c>
      <c r="F4" s="150">
        <f>'Summary of Benefits'!G4</f>
        <v>2017</v>
      </c>
      <c r="G4" s="150">
        <f>'Summary of Benefits'!H4</f>
        <v>2018</v>
      </c>
      <c r="H4" s="150">
        <f>'Summary of Benefits'!I4</f>
        <v>2019</v>
      </c>
      <c r="I4" s="150">
        <f>'Summary of Benefits'!J4</f>
        <v>2020</v>
      </c>
      <c r="J4" s="150">
        <f>'Summary of Benefits'!K4</f>
        <v>2021</v>
      </c>
      <c r="K4" s="150">
        <f>'Summary of Benefits'!L4</f>
        <v>2022</v>
      </c>
      <c r="L4" s="150">
        <f>'Summary of Benefits'!M4</f>
        <v>2023</v>
      </c>
      <c r="M4" s="150">
        <f>'Summary of Benefits'!N4</f>
        <v>2024</v>
      </c>
      <c r="N4" s="150">
        <f>'Summary of Benefits'!O4</f>
        <v>2025</v>
      </c>
      <c r="O4" s="150">
        <f>'Summary of Benefits'!P4</f>
        <v>2026</v>
      </c>
      <c r="P4" s="150">
        <f>'Summary of Benefits'!Q4</f>
        <v>2027</v>
      </c>
      <c r="Q4" s="150">
        <f>'Summary of Benefits'!R4</f>
        <v>2028</v>
      </c>
      <c r="R4" s="150">
        <f>'Summary of Benefits'!S4</f>
        <v>2029</v>
      </c>
      <c r="S4" s="150">
        <f>'Summary of Benefits'!T4</f>
        <v>2030</v>
      </c>
      <c r="T4" s="150">
        <f>'Summary of Benefits'!U4</f>
        <v>2031</v>
      </c>
      <c r="U4" s="150">
        <f>'Summary of Benefits'!V4</f>
        <v>2032</v>
      </c>
      <c r="V4" s="150">
        <f>'Summary of Benefits'!W4</f>
        <v>2033</v>
      </c>
      <c r="W4" s="150">
        <f>'Summary of Benefits'!X4</f>
        <v>2034</v>
      </c>
      <c r="X4" s="150">
        <f>'Summary of Benefits'!Y4</f>
        <v>2035</v>
      </c>
      <c r="Y4" s="150">
        <f>'Summary of Benefits'!Z4</f>
        <v>2036</v>
      </c>
      <c r="Z4" s="150">
        <f>'Summary of Benefits'!AA4</f>
        <v>2037</v>
      </c>
      <c r="AA4" s="150">
        <f>'Summary of Benefits'!AB4</f>
        <v>2038</v>
      </c>
      <c r="AB4" s="150">
        <f>'Summary of Benefits'!AC4</f>
        <v>2039</v>
      </c>
      <c r="AC4" s="150">
        <f>'Summary of Benefits'!AD4</f>
        <v>2040</v>
      </c>
      <c r="AD4" s="150">
        <f>'Summary of Benefits'!AE4</f>
        <v>2041</v>
      </c>
      <c r="AE4" s="150">
        <f>'Summary of Benefits'!AF4</f>
        <v>2042</v>
      </c>
      <c r="AF4" s="150">
        <f>'Summary of Benefits'!AG4</f>
        <v>2043</v>
      </c>
      <c r="AG4" s="150">
        <f>'Summary of Benefits'!AH4</f>
        <v>2044</v>
      </c>
      <c r="AH4" s="150">
        <f>'Summary of Benefits'!AI4</f>
        <v>2045</v>
      </c>
      <c r="AI4" s="150">
        <f>'Summary of Benefits'!AJ4</f>
        <v>2046</v>
      </c>
      <c r="AJ4" s="150">
        <f>'Summary of Benefits'!AK4</f>
        <v>2047</v>
      </c>
      <c r="AK4" s="150">
        <f>'Summary of Benefits'!AL4</f>
        <v>2048</v>
      </c>
      <c r="AL4" s="150">
        <f>'Summary of Benefits'!AM4</f>
        <v>2049</v>
      </c>
      <c r="AM4" s="150">
        <f>'Summary of Benefits'!AN4</f>
        <v>2050</v>
      </c>
      <c r="AN4" s="150">
        <f>'Summary of Benefits'!AO4</f>
        <v>2051</v>
      </c>
      <c r="AO4" s="150">
        <f>'Summary of Benefits'!AP4</f>
        <v>2052</v>
      </c>
      <c r="AP4" s="150">
        <f>'Summary of Benefits'!AQ4</f>
        <v>2053</v>
      </c>
      <c r="AQ4" s="150">
        <f>'Summary of Benefits'!AR4</f>
        <v>2054</v>
      </c>
      <c r="AR4" s="150">
        <f>'Summary of Benefits'!AS4</f>
        <v>2055</v>
      </c>
    </row>
    <row r="5" spans="1:44" ht="16" thickBot="1">
      <c r="A5" s="32" t="str">
        <f>'BCA Summary'!A2&amp;" Maintenance"</f>
        <v>US 85/120th Avenue Grade-Separation and Interchange Project Maintenance</v>
      </c>
      <c r="B5" s="32"/>
      <c r="C5" s="32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</row>
    <row r="6" spans="1:44">
      <c r="B6" s="36"/>
      <c r="C6" s="34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</row>
    <row r="7" spans="1:44" customFormat="1">
      <c r="A7" t="s">
        <v>164</v>
      </c>
      <c r="B7" s="36"/>
      <c r="C7" s="1"/>
      <c r="D7" s="144">
        <f>$J$8*$F$43</f>
        <v>5135</v>
      </c>
      <c r="E7" s="144">
        <f t="shared" ref="E7:AR7" si="0">$J$8*$F$43</f>
        <v>5135</v>
      </c>
      <c r="F7" s="144">
        <f t="shared" si="0"/>
        <v>5135</v>
      </c>
      <c r="G7" s="144">
        <f t="shared" si="0"/>
        <v>5135</v>
      </c>
      <c r="H7" s="144">
        <f t="shared" si="0"/>
        <v>5135</v>
      </c>
      <c r="I7" s="144">
        <f t="shared" si="0"/>
        <v>5135</v>
      </c>
      <c r="J7" s="144">
        <f t="shared" si="0"/>
        <v>5135</v>
      </c>
      <c r="K7" s="144">
        <f t="shared" si="0"/>
        <v>5135</v>
      </c>
      <c r="L7" s="144">
        <f t="shared" si="0"/>
        <v>5135</v>
      </c>
      <c r="M7" s="144">
        <f t="shared" si="0"/>
        <v>5135</v>
      </c>
      <c r="N7" s="144">
        <f t="shared" si="0"/>
        <v>5135</v>
      </c>
      <c r="O7" s="144">
        <f t="shared" si="0"/>
        <v>5135</v>
      </c>
      <c r="P7" s="144">
        <f t="shared" si="0"/>
        <v>5135</v>
      </c>
      <c r="Q7" s="144">
        <f t="shared" si="0"/>
        <v>5135</v>
      </c>
      <c r="R7" s="144">
        <f t="shared" si="0"/>
        <v>5135</v>
      </c>
      <c r="S7" s="144">
        <f t="shared" si="0"/>
        <v>5135</v>
      </c>
      <c r="T7" s="144">
        <f t="shared" si="0"/>
        <v>5135</v>
      </c>
      <c r="U7" s="144">
        <f t="shared" si="0"/>
        <v>5135</v>
      </c>
      <c r="V7" s="144">
        <f t="shared" si="0"/>
        <v>5135</v>
      </c>
      <c r="W7" s="144">
        <f t="shared" si="0"/>
        <v>5135</v>
      </c>
      <c r="X7" s="144">
        <f t="shared" si="0"/>
        <v>5135</v>
      </c>
      <c r="Y7" s="144">
        <f t="shared" si="0"/>
        <v>5135</v>
      </c>
      <c r="Z7" s="144">
        <f t="shared" si="0"/>
        <v>5135</v>
      </c>
      <c r="AA7" s="144">
        <f t="shared" si="0"/>
        <v>5135</v>
      </c>
      <c r="AB7" s="144">
        <f t="shared" si="0"/>
        <v>5135</v>
      </c>
      <c r="AC7" s="144">
        <f t="shared" si="0"/>
        <v>5135</v>
      </c>
      <c r="AD7" s="144">
        <f t="shared" si="0"/>
        <v>5135</v>
      </c>
      <c r="AE7" s="144">
        <f t="shared" si="0"/>
        <v>5135</v>
      </c>
      <c r="AF7" s="144">
        <f t="shared" si="0"/>
        <v>5135</v>
      </c>
      <c r="AG7" s="144">
        <f t="shared" si="0"/>
        <v>5135</v>
      </c>
      <c r="AH7" s="144">
        <f t="shared" si="0"/>
        <v>5135</v>
      </c>
      <c r="AI7" s="144">
        <f t="shared" si="0"/>
        <v>5135</v>
      </c>
      <c r="AJ7" s="144">
        <f t="shared" si="0"/>
        <v>5135</v>
      </c>
      <c r="AK7" s="144">
        <f t="shared" si="0"/>
        <v>5135</v>
      </c>
      <c r="AL7" s="144">
        <f t="shared" si="0"/>
        <v>5135</v>
      </c>
      <c r="AM7" s="144">
        <f t="shared" si="0"/>
        <v>5135</v>
      </c>
      <c r="AN7" s="144">
        <f t="shared" si="0"/>
        <v>5135</v>
      </c>
      <c r="AO7" s="144">
        <f t="shared" si="0"/>
        <v>5135</v>
      </c>
      <c r="AP7" s="144">
        <f t="shared" si="0"/>
        <v>5135</v>
      </c>
      <c r="AQ7" s="144">
        <f t="shared" si="0"/>
        <v>5135</v>
      </c>
      <c r="AR7" s="144">
        <f t="shared" si="0"/>
        <v>5135</v>
      </c>
    </row>
    <row r="8" spans="1:44">
      <c r="B8" s="36"/>
      <c r="C8" t="s">
        <v>144</v>
      </c>
      <c r="D8" s="145"/>
      <c r="E8" s="35"/>
      <c r="F8" s="35"/>
      <c r="G8" s="35"/>
      <c r="H8" s="35"/>
      <c r="I8" s="35"/>
      <c r="J8" s="111">
        <v>4</v>
      </c>
      <c r="K8" s="116" t="s">
        <v>137</v>
      </c>
      <c r="L8" s="35"/>
      <c r="M8" s="1"/>
      <c r="N8" s="1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</row>
    <row r="9" spans="1:44">
      <c r="B9" s="36"/>
      <c r="C9" s="34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</row>
    <row r="10" spans="1:44">
      <c r="B10" s="37" t="str">
        <f>"BASELINE (No "&amp;'BCA Summary'!E1&amp;" Grant) annual maintenance costs"</f>
        <v>BASELINE (No BUILD Grant Grant) annual maintenance costs</v>
      </c>
      <c r="C10" s="38"/>
      <c r="D10" s="44">
        <f>D7</f>
        <v>5135</v>
      </c>
      <c r="E10" s="44">
        <f t="shared" ref="E10:AE10" si="1">E7</f>
        <v>5135</v>
      </c>
      <c r="F10" s="44">
        <f t="shared" si="1"/>
        <v>5135</v>
      </c>
      <c r="G10" s="44">
        <f t="shared" si="1"/>
        <v>5135</v>
      </c>
      <c r="H10" s="44">
        <f t="shared" si="1"/>
        <v>5135</v>
      </c>
      <c r="I10" s="44">
        <f t="shared" si="1"/>
        <v>5135</v>
      </c>
      <c r="J10" s="44">
        <f t="shared" si="1"/>
        <v>5135</v>
      </c>
      <c r="K10" s="44">
        <f t="shared" si="1"/>
        <v>5135</v>
      </c>
      <c r="L10" s="44">
        <f t="shared" si="1"/>
        <v>5135</v>
      </c>
      <c r="M10" s="44">
        <f t="shared" si="1"/>
        <v>5135</v>
      </c>
      <c r="N10" s="44">
        <f t="shared" si="1"/>
        <v>5135</v>
      </c>
      <c r="O10" s="44">
        <f t="shared" si="1"/>
        <v>5135</v>
      </c>
      <c r="P10" s="44">
        <f t="shared" si="1"/>
        <v>5135</v>
      </c>
      <c r="Q10" s="44">
        <f t="shared" si="1"/>
        <v>5135</v>
      </c>
      <c r="R10" s="44">
        <f t="shared" si="1"/>
        <v>5135</v>
      </c>
      <c r="S10" s="44">
        <f t="shared" si="1"/>
        <v>5135</v>
      </c>
      <c r="T10" s="44">
        <f t="shared" si="1"/>
        <v>5135</v>
      </c>
      <c r="U10" s="44">
        <f t="shared" si="1"/>
        <v>5135</v>
      </c>
      <c r="V10" s="44">
        <f t="shared" si="1"/>
        <v>5135</v>
      </c>
      <c r="W10" s="44">
        <f t="shared" si="1"/>
        <v>5135</v>
      </c>
      <c r="X10" s="44">
        <f t="shared" si="1"/>
        <v>5135</v>
      </c>
      <c r="Y10" s="44">
        <f t="shared" si="1"/>
        <v>5135</v>
      </c>
      <c r="Z10" s="44">
        <f t="shared" si="1"/>
        <v>5135</v>
      </c>
      <c r="AA10" s="44">
        <f t="shared" si="1"/>
        <v>5135</v>
      </c>
      <c r="AB10" s="44">
        <f t="shared" si="1"/>
        <v>5135</v>
      </c>
      <c r="AC10" s="44">
        <f t="shared" si="1"/>
        <v>5135</v>
      </c>
      <c r="AD10" s="44">
        <f t="shared" si="1"/>
        <v>5135</v>
      </c>
      <c r="AE10" s="44">
        <f t="shared" si="1"/>
        <v>5135</v>
      </c>
      <c r="AF10" s="44">
        <f t="shared" ref="AF10:AG10" si="2">AF7</f>
        <v>5135</v>
      </c>
      <c r="AG10" s="44">
        <f t="shared" si="2"/>
        <v>5135</v>
      </c>
      <c r="AH10" s="44">
        <f t="shared" ref="AH10:AQ10" si="3">AH7</f>
        <v>5135</v>
      </c>
      <c r="AI10" s="44">
        <f t="shared" si="3"/>
        <v>5135</v>
      </c>
      <c r="AJ10" s="44">
        <f t="shared" si="3"/>
        <v>5135</v>
      </c>
      <c r="AK10" s="44">
        <f t="shared" si="3"/>
        <v>5135</v>
      </c>
      <c r="AL10" s="44">
        <f t="shared" si="3"/>
        <v>5135</v>
      </c>
      <c r="AM10" s="44">
        <f t="shared" si="3"/>
        <v>5135</v>
      </c>
      <c r="AN10" s="44">
        <f t="shared" si="3"/>
        <v>5135</v>
      </c>
      <c r="AO10" s="44">
        <f t="shared" si="3"/>
        <v>5135</v>
      </c>
      <c r="AP10" s="44">
        <f t="shared" si="3"/>
        <v>5135</v>
      </c>
      <c r="AQ10" s="44">
        <f t="shared" si="3"/>
        <v>5135</v>
      </c>
      <c r="AR10" s="44">
        <f t="shared" ref="AR10" si="4">AR7</f>
        <v>5135</v>
      </c>
    </row>
    <row r="11" spans="1:44">
      <c r="B11" s="26" t="str">
        <f>"PREFERRED (With "&amp;'BCA Summary'!E1&amp;"Grant) annual maintenance costs"</f>
        <v>PREFERRED (With BUILD GrantGrant) annual maintenance costs</v>
      </c>
      <c r="D11" s="45">
        <f>D7</f>
        <v>5135</v>
      </c>
      <c r="E11" s="45">
        <f t="shared" ref="E11:AE11" si="5">E7</f>
        <v>5135</v>
      </c>
      <c r="F11" s="45">
        <f t="shared" si="5"/>
        <v>5135</v>
      </c>
      <c r="G11" s="45">
        <f t="shared" si="5"/>
        <v>5135</v>
      </c>
      <c r="H11" s="45">
        <f t="shared" si="5"/>
        <v>5135</v>
      </c>
      <c r="I11" s="45">
        <f t="shared" si="5"/>
        <v>5135</v>
      </c>
      <c r="J11" s="45">
        <f t="shared" si="5"/>
        <v>5135</v>
      </c>
      <c r="K11" s="45">
        <f t="shared" si="5"/>
        <v>5135</v>
      </c>
      <c r="L11" s="45">
        <f t="shared" si="5"/>
        <v>5135</v>
      </c>
      <c r="M11" s="45">
        <f t="shared" si="5"/>
        <v>5135</v>
      </c>
      <c r="N11" s="45">
        <f t="shared" si="5"/>
        <v>5135</v>
      </c>
      <c r="O11" s="45">
        <f t="shared" si="5"/>
        <v>5135</v>
      </c>
      <c r="P11" s="45">
        <f t="shared" si="5"/>
        <v>5135</v>
      </c>
      <c r="Q11" s="45">
        <f t="shared" si="5"/>
        <v>5135</v>
      </c>
      <c r="R11" s="45">
        <f t="shared" si="5"/>
        <v>5135</v>
      </c>
      <c r="S11" s="45">
        <f t="shared" si="5"/>
        <v>5135</v>
      </c>
      <c r="T11" s="45">
        <f t="shared" si="5"/>
        <v>5135</v>
      </c>
      <c r="U11" s="45">
        <f t="shared" si="5"/>
        <v>5135</v>
      </c>
      <c r="V11" s="45">
        <f t="shared" si="5"/>
        <v>5135</v>
      </c>
      <c r="W11" s="45">
        <f t="shared" si="5"/>
        <v>5135</v>
      </c>
      <c r="X11" s="45">
        <f t="shared" si="5"/>
        <v>5135</v>
      </c>
      <c r="Y11" s="45">
        <f t="shared" si="5"/>
        <v>5135</v>
      </c>
      <c r="Z11" s="45">
        <f t="shared" si="5"/>
        <v>5135</v>
      </c>
      <c r="AA11" s="45">
        <f t="shared" si="5"/>
        <v>5135</v>
      </c>
      <c r="AB11" s="45">
        <f t="shared" si="5"/>
        <v>5135</v>
      </c>
      <c r="AC11" s="45">
        <f t="shared" si="5"/>
        <v>5135</v>
      </c>
      <c r="AD11" s="45">
        <f t="shared" si="5"/>
        <v>5135</v>
      </c>
      <c r="AE11" s="45">
        <f t="shared" si="5"/>
        <v>5135</v>
      </c>
      <c r="AF11" s="45">
        <f t="shared" ref="AF11:AG11" si="6">AF7</f>
        <v>5135</v>
      </c>
      <c r="AG11" s="45">
        <f t="shared" si="6"/>
        <v>5135</v>
      </c>
      <c r="AH11" s="45">
        <f t="shared" ref="AH11:AQ11" si="7">AH7</f>
        <v>5135</v>
      </c>
      <c r="AI11" s="45">
        <f t="shared" si="7"/>
        <v>5135</v>
      </c>
      <c r="AJ11" s="45">
        <f t="shared" si="7"/>
        <v>5135</v>
      </c>
      <c r="AK11" s="45">
        <f t="shared" si="7"/>
        <v>5135</v>
      </c>
      <c r="AL11" s="45">
        <f t="shared" si="7"/>
        <v>5135</v>
      </c>
      <c r="AM11" s="45">
        <f t="shared" si="7"/>
        <v>5135</v>
      </c>
      <c r="AN11" s="45">
        <f t="shared" si="7"/>
        <v>5135</v>
      </c>
      <c r="AO11" s="45">
        <f t="shared" si="7"/>
        <v>5135</v>
      </c>
      <c r="AP11" s="45">
        <f t="shared" si="7"/>
        <v>5135</v>
      </c>
      <c r="AQ11" s="45">
        <f t="shared" si="7"/>
        <v>5135</v>
      </c>
      <c r="AR11" s="45">
        <f t="shared" ref="AR11" si="8">AR7</f>
        <v>5135</v>
      </c>
    </row>
    <row r="12" spans="1:44">
      <c r="B12" s="39" t="s">
        <v>26</v>
      </c>
      <c r="C12" s="40"/>
      <c r="D12" s="41">
        <f>D10-D11</f>
        <v>0</v>
      </c>
      <c r="E12" s="41">
        <f t="shared" ref="E12:T12" si="9">E10-E11</f>
        <v>0</v>
      </c>
      <c r="F12" s="41">
        <f t="shared" si="9"/>
        <v>0</v>
      </c>
      <c r="G12" s="41">
        <f t="shared" si="9"/>
        <v>0</v>
      </c>
      <c r="H12" s="41">
        <f t="shared" si="9"/>
        <v>0</v>
      </c>
      <c r="I12" s="41">
        <f t="shared" si="9"/>
        <v>0</v>
      </c>
      <c r="J12" s="41">
        <f t="shared" si="9"/>
        <v>0</v>
      </c>
      <c r="K12" s="41">
        <f t="shared" si="9"/>
        <v>0</v>
      </c>
      <c r="L12" s="41">
        <f t="shared" si="9"/>
        <v>0</v>
      </c>
      <c r="M12" s="41">
        <f t="shared" si="9"/>
        <v>0</v>
      </c>
      <c r="N12" s="41">
        <f t="shared" si="9"/>
        <v>0</v>
      </c>
      <c r="O12" s="41">
        <f t="shared" si="9"/>
        <v>0</v>
      </c>
      <c r="P12" s="41">
        <f t="shared" si="9"/>
        <v>0</v>
      </c>
      <c r="Q12" s="41">
        <f t="shared" si="9"/>
        <v>0</v>
      </c>
      <c r="R12" s="41">
        <f t="shared" si="9"/>
        <v>0</v>
      </c>
      <c r="S12" s="41">
        <f t="shared" si="9"/>
        <v>0</v>
      </c>
      <c r="T12" s="41">
        <f t="shared" si="9"/>
        <v>0</v>
      </c>
      <c r="U12" s="41">
        <f>U10-U11</f>
        <v>0</v>
      </c>
      <c r="V12" s="41">
        <f t="shared" ref="V12:AE12" si="10">V10-V11</f>
        <v>0</v>
      </c>
      <c r="W12" s="41">
        <f t="shared" si="10"/>
        <v>0</v>
      </c>
      <c r="X12" s="41">
        <f t="shared" si="10"/>
        <v>0</v>
      </c>
      <c r="Y12" s="41">
        <f t="shared" si="10"/>
        <v>0</v>
      </c>
      <c r="Z12" s="41">
        <f t="shared" si="10"/>
        <v>0</v>
      </c>
      <c r="AA12" s="41">
        <f t="shared" si="10"/>
        <v>0</v>
      </c>
      <c r="AB12" s="41">
        <f t="shared" si="10"/>
        <v>0</v>
      </c>
      <c r="AC12" s="41">
        <f t="shared" si="10"/>
        <v>0</v>
      </c>
      <c r="AD12" s="41">
        <f t="shared" si="10"/>
        <v>0</v>
      </c>
      <c r="AE12" s="41">
        <f t="shared" si="10"/>
        <v>0</v>
      </c>
      <c r="AF12" s="41">
        <f t="shared" ref="AF12:AG12" si="11">AF10-AF11</f>
        <v>0</v>
      </c>
      <c r="AG12" s="41">
        <f t="shared" si="11"/>
        <v>0</v>
      </c>
      <c r="AH12" s="41">
        <f t="shared" ref="AH12:AQ12" si="12">AH10-AH11</f>
        <v>0</v>
      </c>
      <c r="AI12" s="41">
        <f t="shared" si="12"/>
        <v>0</v>
      </c>
      <c r="AJ12" s="41">
        <f t="shared" si="12"/>
        <v>0</v>
      </c>
      <c r="AK12" s="41">
        <f t="shared" si="12"/>
        <v>0</v>
      </c>
      <c r="AL12" s="41">
        <f t="shared" si="12"/>
        <v>0</v>
      </c>
      <c r="AM12" s="41">
        <f t="shared" si="12"/>
        <v>0</v>
      </c>
      <c r="AN12" s="41">
        <f t="shared" si="12"/>
        <v>0</v>
      </c>
      <c r="AO12" s="41">
        <f t="shared" si="12"/>
        <v>0</v>
      </c>
      <c r="AP12" s="41">
        <f t="shared" si="12"/>
        <v>0</v>
      </c>
      <c r="AQ12" s="41">
        <f t="shared" si="12"/>
        <v>0</v>
      </c>
      <c r="AR12" s="41">
        <f t="shared" ref="AR12" si="13">AR10-AR11</f>
        <v>0</v>
      </c>
    </row>
    <row r="13" spans="1:44">
      <c r="C13"/>
    </row>
    <row r="14" spans="1:44" ht="16" thickBot="1">
      <c r="A14" s="32" t="str">
        <f>'Timeline &amp; Costs'!A11</f>
        <v>US 85/120th Avenue Grade-Separation and Interchange Project</v>
      </c>
      <c r="B14" s="32"/>
      <c r="C14" s="32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</row>
    <row r="15" spans="1:44">
      <c r="B15" s="153" t="str">
        <f>"Baseline (No "&amp;'BCA Summary'!E1&amp;" Grant) Benefits"</f>
        <v>Baseline (No BUILD Grant Grant) Benefits</v>
      </c>
      <c r="C15" s="34"/>
      <c r="D15" s="35" t="str">
        <f>'Timeline &amp; Costs'!E$8</f>
        <v>No</v>
      </c>
      <c r="E15" s="35" t="str">
        <f>'Timeline &amp; Costs'!F$8</f>
        <v>No</v>
      </c>
      <c r="F15" s="35" t="str">
        <f>'Timeline &amp; Costs'!G$8</f>
        <v>No</v>
      </c>
      <c r="G15" s="35" t="str">
        <f>'Timeline &amp; Costs'!H$8</f>
        <v>No</v>
      </c>
      <c r="H15" s="35" t="str">
        <f>'Timeline &amp; Costs'!I$8</f>
        <v>No</v>
      </c>
      <c r="I15" s="35" t="str">
        <f>'Timeline &amp; Costs'!J$8</f>
        <v>No</v>
      </c>
      <c r="J15" s="35" t="str">
        <f>'Timeline &amp; Costs'!K$8</f>
        <v>No</v>
      </c>
      <c r="K15" s="35" t="str">
        <f>'Timeline &amp; Costs'!L$8</f>
        <v>No</v>
      </c>
      <c r="L15" s="35" t="str">
        <f>'Timeline &amp; Costs'!M$8</f>
        <v>No</v>
      </c>
      <c r="M15" s="35" t="str">
        <f>'Timeline &amp; Costs'!N$8</f>
        <v>No</v>
      </c>
      <c r="N15" s="35" t="str">
        <f>'Timeline &amp; Costs'!O$8</f>
        <v>No</v>
      </c>
      <c r="O15" s="35" t="str">
        <f>'Timeline &amp; Costs'!P$8</f>
        <v>No</v>
      </c>
      <c r="P15" s="35" t="str">
        <f>'Timeline &amp; Costs'!Q$8</f>
        <v>No</v>
      </c>
      <c r="Q15" s="35" t="str">
        <f>'Timeline &amp; Costs'!R$8</f>
        <v>No</v>
      </c>
      <c r="R15" s="35" t="str">
        <f>'Timeline &amp; Costs'!S$8</f>
        <v>No</v>
      </c>
      <c r="S15" s="35" t="str">
        <f>'Timeline &amp; Costs'!T$8</f>
        <v>No</v>
      </c>
      <c r="T15" s="35" t="str">
        <f>'Timeline &amp; Costs'!U$8</f>
        <v>No</v>
      </c>
      <c r="U15" s="35" t="str">
        <f>'Timeline &amp; Costs'!V$8</f>
        <v>No</v>
      </c>
      <c r="V15" s="35" t="str">
        <f>'Timeline &amp; Costs'!W$8</f>
        <v>No</v>
      </c>
      <c r="W15" s="35" t="str">
        <f>'Timeline &amp; Costs'!X$8</f>
        <v>No</v>
      </c>
      <c r="X15" s="35" t="str">
        <f>'Timeline &amp; Costs'!Y$8</f>
        <v>No</v>
      </c>
      <c r="Y15" s="35" t="str">
        <f>'Timeline &amp; Costs'!Z$8</f>
        <v>No</v>
      </c>
      <c r="Z15" s="35" t="str">
        <f>'Timeline &amp; Costs'!AA$8</f>
        <v>No</v>
      </c>
      <c r="AA15" s="35" t="str">
        <f>'Timeline &amp; Costs'!AB$8</f>
        <v>No</v>
      </c>
      <c r="AB15" s="35" t="str">
        <f>'Timeline &amp; Costs'!AC$8</f>
        <v>No</v>
      </c>
      <c r="AC15" s="35" t="str">
        <f>'Timeline &amp; Costs'!AD$8</f>
        <v>No</v>
      </c>
      <c r="AD15" s="35" t="str">
        <f>'Timeline &amp; Costs'!AE$8</f>
        <v>No</v>
      </c>
      <c r="AE15" s="35" t="str">
        <f>'Timeline &amp; Costs'!AF$8</f>
        <v>No</v>
      </c>
      <c r="AF15" s="35" t="str">
        <f>'Timeline &amp; Costs'!AG$8</f>
        <v>No</v>
      </c>
      <c r="AG15" s="35" t="str">
        <f>'Timeline &amp; Costs'!AH$8</f>
        <v>No</v>
      </c>
      <c r="AH15" s="35" t="str">
        <f>'Timeline &amp; Costs'!AI$8</f>
        <v>No</v>
      </c>
      <c r="AI15" s="35" t="str">
        <f>'Timeline &amp; Costs'!AJ$8</f>
        <v>No</v>
      </c>
      <c r="AJ15" s="35" t="str">
        <f>'Timeline &amp; Costs'!AK$8</f>
        <v>No</v>
      </c>
      <c r="AK15" s="35" t="str">
        <f>'Timeline &amp; Costs'!AL$8</f>
        <v>No</v>
      </c>
      <c r="AL15" s="35" t="str">
        <f>'Timeline &amp; Costs'!AM$8</f>
        <v>No</v>
      </c>
      <c r="AM15" s="35" t="str">
        <f>'Timeline &amp; Costs'!AN$8</f>
        <v>No</v>
      </c>
      <c r="AN15" s="35" t="str">
        <f>'Timeline &amp; Costs'!AO$8</f>
        <v>No</v>
      </c>
      <c r="AO15" s="35" t="str">
        <f>'Timeline &amp; Costs'!AP$8</f>
        <v>No</v>
      </c>
      <c r="AP15" s="35" t="str">
        <f>'Timeline &amp; Costs'!AQ$8</f>
        <v>No</v>
      </c>
      <c r="AQ15" s="35" t="str">
        <f>'Timeline &amp; Costs'!AR$8</f>
        <v>No</v>
      </c>
      <c r="AR15" s="35" t="str">
        <f>'Timeline &amp; Costs'!AS$8</f>
        <v>No</v>
      </c>
    </row>
    <row r="16" spans="1:44">
      <c r="B16" s="36" t="str">
        <f>"Preferred (With "&amp;'BCA Summary'!E1&amp;" Grant) Benefits"</f>
        <v>Preferred (With BUILD Grant Grant) Benefits</v>
      </c>
      <c r="C16" s="34"/>
      <c r="D16" s="35">
        <f>'Timeline &amp; Costs'!E17</f>
        <v>0</v>
      </c>
      <c r="E16" s="35">
        <f>'Timeline &amp; Costs'!F17</f>
        <v>0</v>
      </c>
      <c r="F16" s="35">
        <f>'Timeline &amp; Costs'!G17</f>
        <v>0</v>
      </c>
      <c r="G16" s="35" t="str">
        <f>'Timeline &amp; Costs'!H17</f>
        <v>No</v>
      </c>
      <c r="H16" s="35" t="str">
        <f>'Timeline &amp; Costs'!I17</f>
        <v>No</v>
      </c>
      <c r="I16" s="35" t="str">
        <f>'Timeline &amp; Costs'!J17</f>
        <v>No</v>
      </c>
      <c r="J16" s="35" t="str">
        <f>'Timeline &amp; Costs'!K17</f>
        <v>No</v>
      </c>
      <c r="K16" s="35" t="str">
        <f>'Timeline &amp; Costs'!L17</f>
        <v>No</v>
      </c>
      <c r="L16" s="35" t="str">
        <f>'Timeline &amp; Costs'!M17</f>
        <v>No</v>
      </c>
      <c r="M16" s="35" t="str">
        <f>'Timeline &amp; Costs'!N17</f>
        <v>No</v>
      </c>
      <c r="N16" s="35" t="str">
        <f>'Timeline &amp; Costs'!O17</f>
        <v>No</v>
      </c>
      <c r="O16" s="35" t="str">
        <f>'Timeline &amp; Costs'!P17</f>
        <v>No</v>
      </c>
      <c r="P16" s="35" t="str">
        <f>'Timeline &amp; Costs'!Q17</f>
        <v>No</v>
      </c>
      <c r="Q16" s="35" t="str">
        <f>'Timeline &amp; Costs'!R17</f>
        <v>No</v>
      </c>
      <c r="R16" s="35" t="str">
        <f>'Timeline &amp; Costs'!S17</f>
        <v>No</v>
      </c>
      <c r="S16" s="35" t="str">
        <f>'Timeline &amp; Costs'!T17</f>
        <v>Yes</v>
      </c>
      <c r="T16" s="35" t="str">
        <f>'Timeline &amp; Costs'!U17</f>
        <v>Yes</v>
      </c>
      <c r="U16" s="35" t="str">
        <f>'Timeline &amp; Costs'!V17</f>
        <v>Yes</v>
      </c>
      <c r="V16" s="35" t="str">
        <f>'Timeline &amp; Costs'!W17</f>
        <v>Yes</v>
      </c>
      <c r="W16" s="35" t="str">
        <f>'Timeline &amp; Costs'!X17</f>
        <v>Yes</v>
      </c>
      <c r="X16" s="35" t="str">
        <f>'Timeline &amp; Costs'!Y17</f>
        <v>Yes</v>
      </c>
      <c r="Y16" s="35" t="str">
        <f>'Timeline &amp; Costs'!Z17</f>
        <v>Yes</v>
      </c>
      <c r="Z16" s="35" t="str">
        <f>'Timeline &amp; Costs'!AA17</f>
        <v>Yes</v>
      </c>
      <c r="AA16" s="35" t="str">
        <f>'Timeline &amp; Costs'!AB17</f>
        <v>Yes</v>
      </c>
      <c r="AB16" s="35" t="str">
        <f>'Timeline &amp; Costs'!AC17</f>
        <v>Yes</v>
      </c>
      <c r="AC16" s="35" t="str">
        <f>'Timeline &amp; Costs'!AD17</f>
        <v>Yes</v>
      </c>
      <c r="AD16" s="35" t="str">
        <f>'Timeline &amp; Costs'!AE17</f>
        <v>Yes</v>
      </c>
      <c r="AE16" s="35" t="str">
        <f>'Timeline &amp; Costs'!AF17</f>
        <v>Yes</v>
      </c>
      <c r="AF16" s="35" t="str">
        <f>'Timeline &amp; Costs'!AG17</f>
        <v>Yes</v>
      </c>
      <c r="AG16" s="35" t="str">
        <f>'Timeline &amp; Costs'!AH17</f>
        <v>Yes</v>
      </c>
      <c r="AH16" s="35" t="str">
        <f>'Timeline &amp; Costs'!AI17</f>
        <v>Yes</v>
      </c>
      <c r="AI16" s="35" t="str">
        <f>'Timeline &amp; Costs'!AJ17</f>
        <v>Yes</v>
      </c>
      <c r="AJ16" s="35" t="str">
        <f>'Timeline &amp; Costs'!AK17</f>
        <v>Yes</v>
      </c>
      <c r="AK16" s="35" t="str">
        <f>'Timeline &amp; Costs'!AL17</f>
        <v>Yes</v>
      </c>
      <c r="AL16" s="35" t="str">
        <f>'Timeline &amp; Costs'!AM17</f>
        <v>Yes</v>
      </c>
      <c r="AM16" s="35" t="str">
        <f>'Timeline &amp; Costs'!AN17</f>
        <v>Yes</v>
      </c>
      <c r="AN16" s="35" t="str">
        <f>'Timeline &amp; Costs'!AO17</f>
        <v>Yes</v>
      </c>
      <c r="AO16" s="35" t="str">
        <f>'Timeline &amp; Costs'!AP17</f>
        <v>Yes</v>
      </c>
      <c r="AP16" s="35" t="str">
        <f>'Timeline &amp; Costs'!AQ17</f>
        <v>Yes</v>
      </c>
      <c r="AQ16" s="35" t="str">
        <f>'Timeline &amp; Costs'!AR17</f>
        <v>Yes</v>
      </c>
      <c r="AR16" s="35" t="str">
        <f>'Timeline &amp; Costs'!AS17</f>
        <v>Yes</v>
      </c>
    </row>
    <row r="17" spans="1:51">
      <c r="B17" s="36"/>
      <c r="C17" s="34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</row>
    <row r="18" spans="1:51">
      <c r="A18" s="23" t="s">
        <v>174</v>
      </c>
      <c r="B18" s="36"/>
      <c r="C18" s="34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</row>
    <row r="19" spans="1:51">
      <c r="B19" t="s">
        <v>175</v>
      </c>
      <c r="C19" s="34"/>
      <c r="D19" s="35" t="s">
        <v>20</v>
      </c>
      <c r="E19" s="35" t="s">
        <v>20</v>
      </c>
      <c r="F19" s="35" t="s">
        <v>20</v>
      </c>
      <c r="G19" s="35" t="s">
        <v>20</v>
      </c>
      <c r="H19" s="35" t="s">
        <v>20</v>
      </c>
      <c r="I19" s="35" t="s">
        <v>20</v>
      </c>
      <c r="J19" s="35" t="s">
        <v>20</v>
      </c>
      <c r="K19" s="35" t="s">
        <v>24</v>
      </c>
      <c r="L19" s="35" t="s">
        <v>20</v>
      </c>
      <c r="M19" s="35" t="s">
        <v>20</v>
      </c>
      <c r="N19" s="35" t="s">
        <v>20</v>
      </c>
      <c r="O19" s="35" t="s">
        <v>20</v>
      </c>
      <c r="P19" s="35" t="s">
        <v>20</v>
      </c>
      <c r="Q19" s="35" t="s">
        <v>20</v>
      </c>
      <c r="R19" s="35" t="s">
        <v>20</v>
      </c>
      <c r="S19" s="35" t="s">
        <v>20</v>
      </c>
      <c r="T19" s="35" t="s">
        <v>20</v>
      </c>
      <c r="U19" s="35" t="s">
        <v>24</v>
      </c>
      <c r="V19" s="35" t="s">
        <v>20</v>
      </c>
      <c r="W19" s="35" t="s">
        <v>20</v>
      </c>
      <c r="X19" s="35" t="s">
        <v>20</v>
      </c>
      <c r="Y19" s="35" t="s">
        <v>20</v>
      </c>
      <c r="Z19" s="35" t="s">
        <v>20</v>
      </c>
      <c r="AA19" s="35" t="s">
        <v>20</v>
      </c>
      <c r="AB19" s="35" t="s">
        <v>20</v>
      </c>
      <c r="AC19" s="35" t="s">
        <v>20</v>
      </c>
      <c r="AD19" s="35" t="s">
        <v>20</v>
      </c>
      <c r="AE19" s="35" t="s">
        <v>24</v>
      </c>
      <c r="AF19" s="35" t="s">
        <v>20</v>
      </c>
      <c r="AG19" s="35" t="s">
        <v>20</v>
      </c>
      <c r="AH19" s="35" t="s">
        <v>20</v>
      </c>
      <c r="AI19" s="35" t="s">
        <v>20</v>
      </c>
      <c r="AJ19" s="35" t="s">
        <v>20</v>
      </c>
      <c r="AK19" s="35" t="s">
        <v>20</v>
      </c>
      <c r="AL19" s="35" t="s">
        <v>20</v>
      </c>
      <c r="AM19" s="35" t="s">
        <v>20</v>
      </c>
      <c r="AN19" s="35" t="s">
        <v>20</v>
      </c>
      <c r="AO19" s="35" t="s">
        <v>24</v>
      </c>
      <c r="AP19" s="35" t="s">
        <v>20</v>
      </c>
      <c r="AQ19" s="35" t="s">
        <v>20</v>
      </c>
      <c r="AR19" s="35" t="s">
        <v>20</v>
      </c>
    </row>
    <row r="20" spans="1:51">
      <c r="B20" t="s">
        <v>176</v>
      </c>
      <c r="C20" s="34"/>
      <c r="D20" s="35" t="s">
        <v>20</v>
      </c>
      <c r="E20" s="35" t="s">
        <v>20</v>
      </c>
      <c r="F20" s="35" t="s">
        <v>20</v>
      </c>
      <c r="G20" s="35" t="s">
        <v>20</v>
      </c>
      <c r="H20" s="35" t="s">
        <v>20</v>
      </c>
      <c r="I20" s="35" t="s">
        <v>20</v>
      </c>
      <c r="J20" s="35" t="s">
        <v>20</v>
      </c>
      <c r="K20" s="35" t="s">
        <v>20</v>
      </c>
      <c r="L20" s="35" t="s">
        <v>20</v>
      </c>
      <c r="M20" s="35" t="s">
        <v>20</v>
      </c>
      <c r="N20" s="35" t="s">
        <v>20</v>
      </c>
      <c r="O20" s="35" t="s">
        <v>20</v>
      </c>
      <c r="P20" s="35" t="s">
        <v>20</v>
      </c>
      <c r="Q20" s="35" t="s">
        <v>20</v>
      </c>
      <c r="R20" s="35" t="s">
        <v>20</v>
      </c>
      <c r="S20" s="35" t="s">
        <v>20</v>
      </c>
      <c r="T20" s="35" t="s">
        <v>20</v>
      </c>
      <c r="U20" s="35" t="s">
        <v>20</v>
      </c>
      <c r="V20" s="35" t="s">
        <v>20</v>
      </c>
      <c r="W20" s="35" t="s">
        <v>20</v>
      </c>
      <c r="X20" s="35" t="s">
        <v>20</v>
      </c>
      <c r="Y20" s="35" t="s">
        <v>20</v>
      </c>
      <c r="Z20" s="35" t="s">
        <v>20</v>
      </c>
      <c r="AA20" s="35" t="s">
        <v>20</v>
      </c>
      <c r="AB20" s="35" t="s">
        <v>20</v>
      </c>
      <c r="AC20" s="35" t="s">
        <v>24</v>
      </c>
      <c r="AD20" s="35" t="s">
        <v>20</v>
      </c>
      <c r="AE20" s="35" t="s">
        <v>20</v>
      </c>
      <c r="AF20" s="35" t="s">
        <v>20</v>
      </c>
      <c r="AG20" s="35" t="s">
        <v>20</v>
      </c>
      <c r="AH20" s="35" t="s">
        <v>20</v>
      </c>
      <c r="AI20" s="35" t="s">
        <v>20</v>
      </c>
      <c r="AJ20" s="35" t="s">
        <v>20</v>
      </c>
      <c r="AK20" s="35" t="s">
        <v>20</v>
      </c>
      <c r="AL20" s="35" t="s">
        <v>20</v>
      </c>
      <c r="AM20" s="35" t="s">
        <v>24</v>
      </c>
      <c r="AN20" s="35" t="s">
        <v>20</v>
      </c>
      <c r="AO20" s="35" t="s">
        <v>20</v>
      </c>
      <c r="AP20" s="35" t="s">
        <v>20</v>
      </c>
      <c r="AQ20" s="35" t="s">
        <v>20</v>
      </c>
      <c r="AR20" s="35" t="s">
        <v>20</v>
      </c>
      <c r="AS20" s="35"/>
      <c r="AT20" s="35"/>
      <c r="AU20" s="35"/>
      <c r="AV20" s="35"/>
      <c r="AW20" s="35"/>
      <c r="AX20" s="35"/>
      <c r="AY20" s="35"/>
    </row>
    <row r="22" spans="1:51">
      <c r="B22" s="37" t="str">
        <f>"BASELINE (No "&amp;'BCA Summary'!E1&amp;") repaving costs"</f>
        <v>BASELINE (No BUILD Grant) repaving costs</v>
      </c>
      <c r="C22" s="38"/>
      <c r="D22" s="44">
        <f t="shared" ref="D22:AE22" si="14">IF(D19="Yes",$D$51*$D$44,0)</f>
        <v>0</v>
      </c>
      <c r="E22" s="44">
        <f t="shared" si="14"/>
        <v>0</v>
      </c>
      <c r="F22" s="44">
        <f t="shared" si="14"/>
        <v>0</v>
      </c>
      <c r="G22" s="44">
        <f t="shared" si="14"/>
        <v>0</v>
      </c>
      <c r="H22" s="44">
        <f t="shared" si="14"/>
        <v>0</v>
      </c>
      <c r="I22" s="44">
        <f t="shared" si="14"/>
        <v>0</v>
      </c>
      <c r="J22" s="44">
        <f t="shared" si="14"/>
        <v>0</v>
      </c>
      <c r="K22" s="44">
        <f>IF(K19="Yes",$D$51*$D$44,0)</f>
        <v>3027500</v>
      </c>
      <c r="L22" s="44">
        <f t="shared" si="14"/>
        <v>0</v>
      </c>
      <c r="M22" s="44">
        <f t="shared" si="14"/>
        <v>0</v>
      </c>
      <c r="N22" s="44">
        <f t="shared" si="14"/>
        <v>0</v>
      </c>
      <c r="O22" s="44">
        <f t="shared" si="14"/>
        <v>0</v>
      </c>
      <c r="P22" s="44">
        <f t="shared" si="14"/>
        <v>0</v>
      </c>
      <c r="Q22" s="44">
        <f t="shared" si="14"/>
        <v>0</v>
      </c>
      <c r="R22" s="44">
        <f t="shared" si="14"/>
        <v>0</v>
      </c>
      <c r="S22" s="44">
        <f t="shared" si="14"/>
        <v>0</v>
      </c>
      <c r="T22" s="44">
        <f t="shared" si="14"/>
        <v>0</v>
      </c>
      <c r="U22" s="44">
        <f t="shared" si="14"/>
        <v>3027500</v>
      </c>
      <c r="V22" s="44">
        <f t="shared" si="14"/>
        <v>0</v>
      </c>
      <c r="W22" s="44">
        <f t="shared" si="14"/>
        <v>0</v>
      </c>
      <c r="X22" s="44">
        <f t="shared" si="14"/>
        <v>0</v>
      </c>
      <c r="Y22" s="44">
        <f t="shared" si="14"/>
        <v>0</v>
      </c>
      <c r="Z22" s="44">
        <f t="shared" si="14"/>
        <v>0</v>
      </c>
      <c r="AA22" s="44">
        <f t="shared" si="14"/>
        <v>0</v>
      </c>
      <c r="AB22" s="44">
        <f t="shared" si="14"/>
        <v>0</v>
      </c>
      <c r="AC22" s="44">
        <f t="shared" si="14"/>
        <v>0</v>
      </c>
      <c r="AD22" s="44">
        <f t="shared" si="14"/>
        <v>0</v>
      </c>
      <c r="AE22" s="44">
        <f t="shared" si="14"/>
        <v>3027500</v>
      </c>
      <c r="AF22" s="44">
        <f t="shared" ref="AF22:AG22" si="15">IF(AF19="Yes",$D$51*$D$44,0)</f>
        <v>0</v>
      </c>
      <c r="AG22" s="44">
        <f t="shared" si="15"/>
        <v>0</v>
      </c>
      <c r="AH22" s="44">
        <f t="shared" ref="AH22:AQ22" si="16">IF(AH19="Yes",$D$51*$D$44,0)</f>
        <v>0</v>
      </c>
      <c r="AI22" s="44">
        <f t="shared" si="16"/>
        <v>0</v>
      </c>
      <c r="AJ22" s="44">
        <f t="shared" si="16"/>
        <v>0</v>
      </c>
      <c r="AK22" s="44">
        <f t="shared" si="16"/>
        <v>0</v>
      </c>
      <c r="AL22" s="44">
        <f t="shared" si="16"/>
        <v>0</v>
      </c>
      <c r="AM22" s="44">
        <f t="shared" si="16"/>
        <v>0</v>
      </c>
      <c r="AN22" s="44">
        <f t="shared" si="16"/>
        <v>0</v>
      </c>
      <c r="AO22" s="44">
        <f t="shared" si="16"/>
        <v>3027500</v>
      </c>
      <c r="AP22" s="44">
        <f t="shared" si="16"/>
        <v>0</v>
      </c>
      <c r="AQ22" s="44">
        <f t="shared" si="16"/>
        <v>0</v>
      </c>
      <c r="AR22" s="44">
        <f t="shared" ref="AR22" si="17">IF(AR19="Yes",$D$51*$D$44,0)</f>
        <v>0</v>
      </c>
    </row>
    <row r="23" spans="1:51">
      <c r="B23" s="26" t="str">
        <f>"PREFERRED (With "&amp;'BCA Summary'!E1&amp;") repaving costs"</f>
        <v>PREFERRED (With BUILD Grant) repaving costs</v>
      </c>
      <c r="D23" s="45">
        <f t="shared" ref="D23:J23" si="18">IF(D20="Yes",$D$50*$D$44,D22)</f>
        <v>0</v>
      </c>
      <c r="E23" s="45">
        <f t="shared" si="18"/>
        <v>0</v>
      </c>
      <c r="F23" s="45">
        <f t="shared" si="18"/>
        <v>0</v>
      </c>
      <c r="G23" s="45">
        <f t="shared" si="18"/>
        <v>0</v>
      </c>
      <c r="H23" s="45">
        <f t="shared" si="18"/>
        <v>0</v>
      </c>
      <c r="I23" s="45">
        <f t="shared" si="18"/>
        <v>0</v>
      </c>
      <c r="J23" s="45">
        <f t="shared" si="18"/>
        <v>0</v>
      </c>
      <c r="K23" s="45">
        <f>IF(K20="Yes",$D$50*$D$44,K22)</f>
        <v>3027500</v>
      </c>
      <c r="L23" s="45">
        <f t="shared" ref="L23" si="19">IF(L20="Yes",$D$50*$D$44,L22)</f>
        <v>0</v>
      </c>
      <c r="M23" s="45">
        <f t="shared" ref="M23" si="20">IF(M20="Yes",$D$50*$D$44,M22)</f>
        <v>0</v>
      </c>
      <c r="N23" s="45">
        <f t="shared" ref="N23" si="21">IF(N20="Yes",$D$50*$D$44,N22)</f>
        <v>0</v>
      </c>
      <c r="O23" s="45">
        <f t="shared" ref="O23" si="22">IF(O20="Yes",$D$50*$D$44,O22)</f>
        <v>0</v>
      </c>
      <c r="P23" s="45">
        <f t="shared" ref="P23" si="23">IF(P20="Yes",$D$50*$D$44,P22)</f>
        <v>0</v>
      </c>
      <c r="Q23" s="45">
        <f t="shared" ref="Q23" si="24">IF(Q20="Yes",$D$50*$D$44,Q22)</f>
        <v>0</v>
      </c>
      <c r="R23" s="45">
        <f t="shared" ref="R23:S23" si="25">IF(R20="Yes",$D$50*$D$44,R22)</f>
        <v>0</v>
      </c>
      <c r="S23" s="45">
        <f t="shared" si="25"/>
        <v>0</v>
      </c>
      <c r="T23" s="45">
        <f t="shared" ref="T23" si="26">IF(T20="Yes",$D$50*$D$44,T22)</f>
        <v>0</v>
      </c>
      <c r="U23" s="45">
        <v>0</v>
      </c>
      <c r="V23" s="45">
        <f t="shared" ref="V23" si="27">IF(V20="Yes",$D$50*$D$44,V22)</f>
        <v>0</v>
      </c>
      <c r="W23" s="45">
        <f t="shared" ref="W23" si="28">IF(W20="Yes",$D$50*$D$44,W22)</f>
        <v>0</v>
      </c>
      <c r="X23" s="45">
        <f t="shared" ref="X23" si="29">IF(X20="Yes",$D$50*$D$44,X22)</f>
        <v>0</v>
      </c>
      <c r="Y23" s="45">
        <f t="shared" ref="Y23" si="30">IF(Y20="Yes",$D$50*$D$44,Y22)</f>
        <v>0</v>
      </c>
      <c r="Z23" s="45">
        <f t="shared" ref="Z23:AA23" si="31">IF(Z20="Yes",$D$50*$D$44,Z22)</f>
        <v>0</v>
      </c>
      <c r="AA23" s="45">
        <f t="shared" si="31"/>
        <v>0</v>
      </c>
      <c r="AB23" s="45">
        <f t="shared" ref="AB23" si="32">IF(AB20="Yes",$D$50*$D$44,AB22)</f>
        <v>0</v>
      </c>
      <c r="AC23" s="45">
        <f t="shared" ref="AC23" si="33">IF(AC20="Yes",$D$50*$D$44,AC22)</f>
        <v>4224500</v>
      </c>
      <c r="AD23" s="45">
        <f t="shared" ref="AD23" si="34">IF(AD20="Yes",$D$50*$D$44,AD22)</f>
        <v>0</v>
      </c>
      <c r="AE23" s="45">
        <v>0</v>
      </c>
      <c r="AF23" s="45">
        <f t="shared" ref="AF23" si="35">IF(AF20="Yes",$D$50*$D$44,AF22)</f>
        <v>0</v>
      </c>
      <c r="AG23" s="45">
        <f t="shared" ref="AG23" si="36">IF(AG20="Yes",$D$50*$D$44,AG22)</f>
        <v>0</v>
      </c>
      <c r="AH23" s="45">
        <f t="shared" ref="AH23:AI23" si="37">IF(AH20="Yes",$D$50*$D$44,AH22)</f>
        <v>0</v>
      </c>
      <c r="AI23" s="45">
        <f t="shared" si="37"/>
        <v>0</v>
      </c>
      <c r="AJ23" s="45">
        <f t="shared" ref="AJ23" si="38">IF(AJ20="Yes",$D$50*$D$44,AJ22)</f>
        <v>0</v>
      </c>
      <c r="AK23" s="45">
        <f t="shared" ref="AK23" si="39">IF(AK20="Yes",$D$50*$D$44,AK22)</f>
        <v>0</v>
      </c>
      <c r="AL23" s="45">
        <f t="shared" ref="AL23" si="40">IF(AL20="Yes",$D$50*$D$44,AL22)</f>
        <v>0</v>
      </c>
      <c r="AM23" s="45">
        <f t="shared" ref="AM23" si="41">IF(AM20="Yes",$D$50*$D$44,AM22)</f>
        <v>4224500</v>
      </c>
      <c r="AN23" s="45">
        <f t="shared" ref="AN23" si="42">IF(AN20="Yes",$D$50*$D$44,AN22)</f>
        <v>0</v>
      </c>
      <c r="AO23" s="45">
        <v>0</v>
      </c>
      <c r="AP23" s="45">
        <f t="shared" ref="AP23:AQ23" si="43">IF(AP20="Yes",$D$50*$D$44,AP22)</f>
        <v>0</v>
      </c>
      <c r="AQ23" s="45">
        <f t="shared" si="43"/>
        <v>0</v>
      </c>
      <c r="AR23" s="45">
        <f t="shared" ref="AR23" si="44">IF(AR20="Yes",$D$50*$D$44,AR22)</f>
        <v>0</v>
      </c>
    </row>
    <row r="24" spans="1:51">
      <c r="B24" s="39" t="s">
        <v>26</v>
      </c>
      <c r="C24" s="40"/>
      <c r="D24" s="41">
        <f>D22-D23</f>
        <v>0</v>
      </c>
      <c r="E24" s="41">
        <f t="shared" ref="E24:T24" si="45">E22-E23</f>
        <v>0</v>
      </c>
      <c r="F24" s="41">
        <f t="shared" si="45"/>
        <v>0</v>
      </c>
      <c r="G24" s="41">
        <f t="shared" si="45"/>
        <v>0</v>
      </c>
      <c r="H24" s="41">
        <f t="shared" si="45"/>
        <v>0</v>
      </c>
      <c r="I24" s="41">
        <f t="shared" si="45"/>
        <v>0</v>
      </c>
      <c r="J24" s="41">
        <f t="shared" si="45"/>
        <v>0</v>
      </c>
      <c r="K24" s="41">
        <f t="shared" si="45"/>
        <v>0</v>
      </c>
      <c r="L24" s="41">
        <f t="shared" si="45"/>
        <v>0</v>
      </c>
      <c r="M24" s="41">
        <f t="shared" si="45"/>
        <v>0</v>
      </c>
      <c r="N24" s="41">
        <f t="shared" si="45"/>
        <v>0</v>
      </c>
      <c r="O24" s="41">
        <f t="shared" si="45"/>
        <v>0</v>
      </c>
      <c r="P24" s="41">
        <f t="shared" si="45"/>
        <v>0</v>
      </c>
      <c r="Q24" s="41">
        <f t="shared" si="45"/>
        <v>0</v>
      </c>
      <c r="R24" s="41">
        <f t="shared" si="45"/>
        <v>0</v>
      </c>
      <c r="S24" s="41">
        <f t="shared" si="45"/>
        <v>0</v>
      </c>
      <c r="T24" s="41">
        <f t="shared" si="45"/>
        <v>0</v>
      </c>
      <c r="U24" s="41">
        <f>U22-U23</f>
        <v>3027500</v>
      </c>
      <c r="V24" s="41">
        <f t="shared" ref="V24:AE24" si="46">V22-V23</f>
        <v>0</v>
      </c>
      <c r="W24" s="41">
        <f t="shared" si="46"/>
        <v>0</v>
      </c>
      <c r="X24" s="41">
        <f t="shared" si="46"/>
        <v>0</v>
      </c>
      <c r="Y24" s="41">
        <f t="shared" si="46"/>
        <v>0</v>
      </c>
      <c r="Z24" s="41">
        <f t="shared" si="46"/>
        <v>0</v>
      </c>
      <c r="AA24" s="41">
        <f t="shared" si="46"/>
        <v>0</v>
      </c>
      <c r="AB24" s="41">
        <f t="shared" si="46"/>
        <v>0</v>
      </c>
      <c r="AC24" s="41">
        <f t="shared" si="46"/>
        <v>-4224500</v>
      </c>
      <c r="AD24" s="41">
        <f t="shared" si="46"/>
        <v>0</v>
      </c>
      <c r="AE24" s="41">
        <f t="shared" si="46"/>
        <v>3027500</v>
      </c>
      <c r="AF24" s="41">
        <f t="shared" ref="AF24:AG24" si="47">AF22-AF23</f>
        <v>0</v>
      </c>
      <c r="AG24" s="41">
        <f t="shared" si="47"/>
        <v>0</v>
      </c>
      <c r="AH24" s="41">
        <f t="shared" ref="AH24:AQ24" si="48">AH22-AH23</f>
        <v>0</v>
      </c>
      <c r="AI24" s="41">
        <f t="shared" si="48"/>
        <v>0</v>
      </c>
      <c r="AJ24" s="41">
        <f t="shared" si="48"/>
        <v>0</v>
      </c>
      <c r="AK24" s="41">
        <f t="shared" si="48"/>
        <v>0</v>
      </c>
      <c r="AL24" s="41">
        <f t="shared" si="48"/>
        <v>0</v>
      </c>
      <c r="AM24" s="41">
        <f t="shared" si="48"/>
        <v>-4224500</v>
      </c>
      <c r="AN24" s="41">
        <f t="shared" si="48"/>
        <v>0</v>
      </c>
      <c r="AO24" s="41">
        <f t="shared" si="48"/>
        <v>3027500</v>
      </c>
      <c r="AP24" s="41">
        <f t="shared" si="48"/>
        <v>0</v>
      </c>
      <c r="AQ24" s="41">
        <f t="shared" si="48"/>
        <v>0</v>
      </c>
      <c r="AR24" s="41">
        <f t="shared" ref="AR24" si="49">AR22-AR23</f>
        <v>0</v>
      </c>
    </row>
    <row r="25" spans="1:51">
      <c r="B25" s="36"/>
      <c r="C25" s="34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</row>
    <row r="26" spans="1:51">
      <c r="A26" s="23" t="s">
        <v>177</v>
      </c>
      <c r="B26" s="36"/>
      <c r="C26" s="34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</row>
    <row r="27" spans="1:51">
      <c r="A27" s="23" t="s">
        <v>279</v>
      </c>
      <c r="B27" s="23"/>
      <c r="D27" s="34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</row>
    <row r="28" spans="1:51">
      <c r="A28" s="23"/>
      <c r="B28" s="89" t="str">
        <f>"BASELINE (No "&amp;'BCA Summary'!$E$1&amp;") annual maintenance costs"</f>
        <v>BASELINE (No BUILD Grant) annual maintenance costs</v>
      </c>
      <c r="D28" s="132">
        <f>$F$42</f>
        <v>12750</v>
      </c>
      <c r="E28" s="132">
        <f t="shared" ref="E28:AR28" si="50">$F$42</f>
        <v>12750</v>
      </c>
      <c r="F28" s="132">
        <f t="shared" si="50"/>
        <v>12750</v>
      </c>
      <c r="G28" s="132">
        <f t="shared" si="50"/>
        <v>12750</v>
      </c>
      <c r="H28" s="132">
        <f t="shared" si="50"/>
        <v>12750</v>
      </c>
      <c r="I28" s="132">
        <f t="shared" si="50"/>
        <v>12750</v>
      </c>
      <c r="J28" s="132">
        <f t="shared" si="50"/>
        <v>12750</v>
      </c>
      <c r="K28" s="132">
        <f t="shared" si="50"/>
        <v>12750</v>
      </c>
      <c r="L28" s="132">
        <f t="shared" si="50"/>
        <v>12750</v>
      </c>
      <c r="M28" s="132">
        <f t="shared" si="50"/>
        <v>12750</v>
      </c>
      <c r="N28" s="132">
        <f t="shared" si="50"/>
        <v>12750</v>
      </c>
      <c r="O28" s="132">
        <f t="shared" si="50"/>
        <v>12750</v>
      </c>
      <c r="P28" s="132">
        <f t="shared" si="50"/>
        <v>12750</v>
      </c>
      <c r="Q28" s="132">
        <f t="shared" si="50"/>
        <v>12750</v>
      </c>
      <c r="R28" s="132">
        <f t="shared" si="50"/>
        <v>12750</v>
      </c>
      <c r="S28" s="132">
        <f t="shared" si="50"/>
        <v>12750</v>
      </c>
      <c r="T28" s="132">
        <f t="shared" si="50"/>
        <v>12750</v>
      </c>
      <c r="U28" s="132">
        <f t="shared" si="50"/>
        <v>12750</v>
      </c>
      <c r="V28" s="132">
        <f t="shared" si="50"/>
        <v>12750</v>
      </c>
      <c r="W28" s="132">
        <f t="shared" si="50"/>
        <v>12750</v>
      </c>
      <c r="X28" s="132">
        <f t="shared" si="50"/>
        <v>12750</v>
      </c>
      <c r="Y28" s="132">
        <f t="shared" si="50"/>
        <v>12750</v>
      </c>
      <c r="Z28" s="132">
        <f t="shared" si="50"/>
        <v>12750</v>
      </c>
      <c r="AA28" s="132">
        <f t="shared" si="50"/>
        <v>12750</v>
      </c>
      <c r="AB28" s="132">
        <f t="shared" si="50"/>
        <v>12750</v>
      </c>
      <c r="AC28" s="132">
        <f t="shared" si="50"/>
        <v>12750</v>
      </c>
      <c r="AD28" s="132">
        <f t="shared" si="50"/>
        <v>12750</v>
      </c>
      <c r="AE28" s="132">
        <f t="shared" si="50"/>
        <v>12750</v>
      </c>
      <c r="AF28" s="132">
        <f t="shared" si="50"/>
        <v>12750</v>
      </c>
      <c r="AG28" s="132">
        <f t="shared" si="50"/>
        <v>12750</v>
      </c>
      <c r="AH28" s="132">
        <f t="shared" si="50"/>
        <v>12750</v>
      </c>
      <c r="AI28" s="132">
        <f t="shared" si="50"/>
        <v>12750</v>
      </c>
      <c r="AJ28" s="132">
        <f t="shared" si="50"/>
        <v>12750</v>
      </c>
      <c r="AK28" s="132">
        <f t="shared" si="50"/>
        <v>12750</v>
      </c>
      <c r="AL28" s="132">
        <f t="shared" si="50"/>
        <v>12750</v>
      </c>
      <c r="AM28" s="132">
        <f t="shared" si="50"/>
        <v>12750</v>
      </c>
      <c r="AN28" s="132">
        <f t="shared" si="50"/>
        <v>12750</v>
      </c>
      <c r="AO28" s="132">
        <f t="shared" si="50"/>
        <v>12750</v>
      </c>
      <c r="AP28" s="132">
        <f t="shared" si="50"/>
        <v>12750</v>
      </c>
      <c r="AQ28" s="132">
        <f t="shared" si="50"/>
        <v>12750</v>
      </c>
      <c r="AR28" s="132">
        <f t="shared" si="50"/>
        <v>12750</v>
      </c>
    </row>
    <row r="29" spans="1:51">
      <c r="A29" s="23"/>
      <c r="B29" s="26" t="str">
        <f>"PREFERRED (With "&amp;'BCA Summary'!$E$1&amp;") annual maintenance costs"</f>
        <v>PREFERRED (With BUILD Grant) annual maintenance costs</v>
      </c>
      <c r="D29" s="132">
        <f>IF(D16="Yes",$F$41,$F$42)</f>
        <v>12750</v>
      </c>
      <c r="E29" s="132">
        <f t="shared" ref="E29:AQ29" si="51">IF(E16="Yes",$F$41,$F$42)</f>
        <v>12750</v>
      </c>
      <c r="F29" s="132">
        <f t="shared" si="51"/>
        <v>12750</v>
      </c>
      <c r="G29" s="132">
        <f t="shared" si="51"/>
        <v>12750</v>
      </c>
      <c r="H29" s="132">
        <f t="shared" si="51"/>
        <v>12750</v>
      </c>
      <c r="I29" s="132">
        <f t="shared" si="51"/>
        <v>12750</v>
      </c>
      <c r="J29" s="132">
        <f t="shared" si="51"/>
        <v>12750</v>
      </c>
      <c r="K29" s="132">
        <f t="shared" si="51"/>
        <v>12750</v>
      </c>
      <c r="L29" s="132">
        <f t="shared" si="51"/>
        <v>12750</v>
      </c>
      <c r="M29" s="132">
        <f t="shared" si="51"/>
        <v>12750</v>
      </c>
      <c r="N29" s="132">
        <f t="shared" si="51"/>
        <v>12750</v>
      </c>
      <c r="O29" s="132">
        <f t="shared" si="51"/>
        <v>12750</v>
      </c>
      <c r="P29" s="132">
        <f t="shared" si="51"/>
        <v>12750</v>
      </c>
      <c r="Q29" s="132">
        <f t="shared" si="51"/>
        <v>12750</v>
      </c>
      <c r="R29" s="132">
        <f t="shared" si="51"/>
        <v>12750</v>
      </c>
      <c r="S29" s="132">
        <f t="shared" si="51"/>
        <v>108750</v>
      </c>
      <c r="T29" s="132">
        <f t="shared" si="51"/>
        <v>108750</v>
      </c>
      <c r="U29" s="132">
        <f t="shared" si="51"/>
        <v>108750</v>
      </c>
      <c r="V29" s="132">
        <f t="shared" si="51"/>
        <v>108750</v>
      </c>
      <c r="W29" s="132">
        <f t="shared" si="51"/>
        <v>108750</v>
      </c>
      <c r="X29" s="132">
        <f t="shared" si="51"/>
        <v>108750</v>
      </c>
      <c r="Y29" s="132">
        <f t="shared" si="51"/>
        <v>108750</v>
      </c>
      <c r="Z29" s="132">
        <f t="shared" si="51"/>
        <v>108750</v>
      </c>
      <c r="AA29" s="132">
        <f t="shared" si="51"/>
        <v>108750</v>
      </c>
      <c r="AB29" s="132">
        <f t="shared" si="51"/>
        <v>108750</v>
      </c>
      <c r="AC29" s="132">
        <f t="shared" si="51"/>
        <v>108750</v>
      </c>
      <c r="AD29" s="132">
        <f t="shared" si="51"/>
        <v>108750</v>
      </c>
      <c r="AE29" s="132">
        <f t="shared" si="51"/>
        <v>108750</v>
      </c>
      <c r="AF29" s="132">
        <f t="shared" si="51"/>
        <v>108750</v>
      </c>
      <c r="AG29" s="132">
        <f t="shared" si="51"/>
        <v>108750</v>
      </c>
      <c r="AH29" s="132">
        <f t="shared" si="51"/>
        <v>108750</v>
      </c>
      <c r="AI29" s="132">
        <f t="shared" si="51"/>
        <v>108750</v>
      </c>
      <c r="AJ29" s="132">
        <f t="shared" si="51"/>
        <v>108750</v>
      </c>
      <c r="AK29" s="132">
        <f t="shared" si="51"/>
        <v>108750</v>
      </c>
      <c r="AL29" s="132">
        <f t="shared" si="51"/>
        <v>108750</v>
      </c>
      <c r="AM29" s="132">
        <f t="shared" si="51"/>
        <v>108750</v>
      </c>
      <c r="AN29" s="132">
        <f t="shared" si="51"/>
        <v>108750</v>
      </c>
      <c r="AO29" s="132">
        <f t="shared" si="51"/>
        <v>108750</v>
      </c>
      <c r="AP29" s="132">
        <f t="shared" si="51"/>
        <v>108750</v>
      </c>
      <c r="AQ29" s="132">
        <f t="shared" si="51"/>
        <v>108750</v>
      </c>
      <c r="AR29" s="132">
        <f t="shared" ref="AR29" si="52">IF(AR16="Yes",$F$41,$F$42)</f>
        <v>108750</v>
      </c>
    </row>
    <row r="30" spans="1:51">
      <c r="D30"/>
      <c r="AD30" s="22"/>
      <c r="AF30" s="22"/>
      <c r="AH30" s="22"/>
      <c r="AJ30" s="22"/>
      <c r="AL30" s="22"/>
      <c r="AN30" s="22"/>
      <c r="AP30" s="22"/>
      <c r="AR30" s="22"/>
    </row>
    <row r="31" spans="1:51">
      <c r="A31" s="23" t="s">
        <v>274</v>
      </c>
      <c r="B31" s="23"/>
      <c r="D31" s="34"/>
      <c r="E31" s="35"/>
      <c r="F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</row>
    <row r="32" spans="1:51">
      <c r="A32" s="23"/>
      <c r="B32" s="89" t="str">
        <f>"BASELINE (No "&amp;'BCA Summary'!$E$1&amp;" ) annual maintenance costs"</f>
        <v>BASELINE (No BUILD Grant ) annual maintenance costs</v>
      </c>
      <c r="D32" s="132">
        <f>$F$42</f>
        <v>12750</v>
      </c>
      <c r="E32" s="132">
        <f t="shared" ref="E32:AR32" si="53">$F$42</f>
        <v>12750</v>
      </c>
      <c r="F32" s="132">
        <f t="shared" si="53"/>
        <v>12750</v>
      </c>
      <c r="G32" s="132">
        <f t="shared" si="53"/>
        <v>12750</v>
      </c>
      <c r="H32" s="132">
        <f t="shared" si="53"/>
        <v>12750</v>
      </c>
      <c r="I32" s="132">
        <f t="shared" si="53"/>
        <v>12750</v>
      </c>
      <c r="J32" s="132">
        <f t="shared" si="53"/>
        <v>12750</v>
      </c>
      <c r="K32" s="132">
        <f t="shared" si="53"/>
        <v>12750</v>
      </c>
      <c r="L32" s="132">
        <f t="shared" si="53"/>
        <v>12750</v>
      </c>
      <c r="M32" s="132">
        <f t="shared" si="53"/>
        <v>12750</v>
      </c>
      <c r="N32" s="132">
        <f t="shared" si="53"/>
        <v>12750</v>
      </c>
      <c r="O32" s="132">
        <f t="shared" si="53"/>
        <v>12750</v>
      </c>
      <c r="P32" s="132">
        <f t="shared" si="53"/>
        <v>12750</v>
      </c>
      <c r="Q32" s="132">
        <f t="shared" si="53"/>
        <v>12750</v>
      </c>
      <c r="R32" s="132">
        <f t="shared" si="53"/>
        <v>12750</v>
      </c>
      <c r="S32" s="132">
        <f t="shared" si="53"/>
        <v>12750</v>
      </c>
      <c r="T32" s="132">
        <f t="shared" si="53"/>
        <v>12750</v>
      </c>
      <c r="U32" s="132">
        <f t="shared" si="53"/>
        <v>12750</v>
      </c>
      <c r="V32" s="132">
        <f t="shared" si="53"/>
        <v>12750</v>
      </c>
      <c r="W32" s="132">
        <f t="shared" si="53"/>
        <v>12750</v>
      </c>
      <c r="X32" s="132">
        <f t="shared" si="53"/>
        <v>12750</v>
      </c>
      <c r="Y32" s="132">
        <f t="shared" si="53"/>
        <v>12750</v>
      </c>
      <c r="Z32" s="132">
        <f t="shared" si="53"/>
        <v>12750</v>
      </c>
      <c r="AA32" s="132">
        <f t="shared" si="53"/>
        <v>12750</v>
      </c>
      <c r="AB32" s="132">
        <f t="shared" si="53"/>
        <v>12750</v>
      </c>
      <c r="AC32" s="132">
        <f t="shared" si="53"/>
        <v>12750</v>
      </c>
      <c r="AD32" s="132">
        <f t="shared" si="53"/>
        <v>12750</v>
      </c>
      <c r="AE32" s="132">
        <f t="shared" si="53"/>
        <v>12750</v>
      </c>
      <c r="AF32" s="132">
        <f t="shared" si="53"/>
        <v>12750</v>
      </c>
      <c r="AG32" s="132">
        <f t="shared" si="53"/>
        <v>12750</v>
      </c>
      <c r="AH32" s="132">
        <f t="shared" si="53"/>
        <v>12750</v>
      </c>
      <c r="AI32" s="132">
        <f t="shared" si="53"/>
        <v>12750</v>
      </c>
      <c r="AJ32" s="132">
        <f t="shared" si="53"/>
        <v>12750</v>
      </c>
      <c r="AK32" s="132">
        <f t="shared" si="53"/>
        <v>12750</v>
      </c>
      <c r="AL32" s="132">
        <f t="shared" si="53"/>
        <v>12750</v>
      </c>
      <c r="AM32" s="132">
        <f t="shared" si="53"/>
        <v>12750</v>
      </c>
      <c r="AN32" s="132">
        <f t="shared" si="53"/>
        <v>12750</v>
      </c>
      <c r="AO32" s="132">
        <f t="shared" si="53"/>
        <v>12750</v>
      </c>
      <c r="AP32" s="132">
        <f t="shared" si="53"/>
        <v>12750</v>
      </c>
      <c r="AQ32" s="132">
        <f t="shared" si="53"/>
        <v>12750</v>
      </c>
      <c r="AR32" s="132">
        <f t="shared" si="53"/>
        <v>12750</v>
      </c>
    </row>
    <row r="33" spans="1:44">
      <c r="A33" s="23"/>
      <c r="B33" s="26" t="str">
        <f>"PREFERRED (With "&amp;'BCA Summary'!$E$1&amp;") annual maintenance costs"</f>
        <v>PREFERRED (With BUILD Grant) annual maintenance costs</v>
      </c>
      <c r="D33" s="132">
        <f>IF(D16="Yes",0,$F$42)</f>
        <v>12750</v>
      </c>
      <c r="E33" s="132">
        <f t="shared" ref="E33:AQ33" si="54">IF(E16="Yes",0,$F$42)</f>
        <v>12750</v>
      </c>
      <c r="F33" s="132">
        <f t="shared" si="54"/>
        <v>12750</v>
      </c>
      <c r="G33" s="132">
        <f t="shared" si="54"/>
        <v>12750</v>
      </c>
      <c r="H33" s="132">
        <f t="shared" si="54"/>
        <v>12750</v>
      </c>
      <c r="I33" s="132">
        <f t="shared" si="54"/>
        <v>12750</v>
      </c>
      <c r="J33" s="132">
        <f t="shared" si="54"/>
        <v>12750</v>
      </c>
      <c r="K33" s="132">
        <f t="shared" si="54"/>
        <v>12750</v>
      </c>
      <c r="L33" s="132">
        <f t="shared" si="54"/>
        <v>12750</v>
      </c>
      <c r="M33" s="132">
        <f t="shared" si="54"/>
        <v>12750</v>
      </c>
      <c r="N33" s="132">
        <f t="shared" si="54"/>
        <v>12750</v>
      </c>
      <c r="O33" s="132">
        <f t="shared" si="54"/>
        <v>12750</v>
      </c>
      <c r="P33" s="132">
        <f t="shared" si="54"/>
        <v>12750</v>
      </c>
      <c r="Q33" s="132">
        <f t="shared" si="54"/>
        <v>12750</v>
      </c>
      <c r="R33" s="132">
        <f t="shared" si="54"/>
        <v>12750</v>
      </c>
      <c r="S33" s="132">
        <f t="shared" si="54"/>
        <v>0</v>
      </c>
      <c r="T33" s="132">
        <f t="shared" si="54"/>
        <v>0</v>
      </c>
      <c r="U33" s="132">
        <f t="shared" si="54"/>
        <v>0</v>
      </c>
      <c r="V33" s="132">
        <f t="shared" si="54"/>
        <v>0</v>
      </c>
      <c r="W33" s="132">
        <f t="shared" si="54"/>
        <v>0</v>
      </c>
      <c r="X33" s="132">
        <f t="shared" si="54"/>
        <v>0</v>
      </c>
      <c r="Y33" s="132">
        <f t="shared" si="54"/>
        <v>0</v>
      </c>
      <c r="Z33" s="132">
        <f t="shared" si="54"/>
        <v>0</v>
      </c>
      <c r="AA33" s="132">
        <f t="shared" si="54"/>
        <v>0</v>
      </c>
      <c r="AB33" s="132">
        <f t="shared" si="54"/>
        <v>0</v>
      </c>
      <c r="AC33" s="132">
        <f t="shared" si="54"/>
        <v>0</v>
      </c>
      <c r="AD33" s="132">
        <f t="shared" si="54"/>
        <v>0</v>
      </c>
      <c r="AE33" s="132">
        <f t="shared" si="54"/>
        <v>0</v>
      </c>
      <c r="AF33" s="132">
        <f t="shared" si="54"/>
        <v>0</v>
      </c>
      <c r="AG33" s="132">
        <f t="shared" si="54"/>
        <v>0</v>
      </c>
      <c r="AH33" s="132">
        <f t="shared" si="54"/>
        <v>0</v>
      </c>
      <c r="AI33" s="132">
        <f t="shared" si="54"/>
        <v>0</v>
      </c>
      <c r="AJ33" s="132">
        <f t="shared" si="54"/>
        <v>0</v>
      </c>
      <c r="AK33" s="132">
        <f t="shared" si="54"/>
        <v>0</v>
      </c>
      <c r="AL33" s="132">
        <f t="shared" si="54"/>
        <v>0</v>
      </c>
      <c r="AM33" s="132">
        <f t="shared" si="54"/>
        <v>0</v>
      </c>
      <c r="AN33" s="132">
        <f t="shared" si="54"/>
        <v>0</v>
      </c>
      <c r="AO33" s="132">
        <f t="shared" si="54"/>
        <v>0</v>
      </c>
      <c r="AP33" s="132">
        <f t="shared" si="54"/>
        <v>0</v>
      </c>
      <c r="AQ33" s="132">
        <f t="shared" si="54"/>
        <v>0</v>
      </c>
      <c r="AR33" s="132">
        <f t="shared" ref="AR33" si="55">IF(AR16="Yes",0,$F$42)</f>
        <v>0</v>
      </c>
    </row>
    <row r="35" spans="1:44">
      <c r="A35" s="37" t="str">
        <f>"BASELINE (No "&amp;'BCA Summary'!$E$1&amp;") Operations &amp; Maintenance Costs"</f>
        <v>BASELINE (No BUILD Grant) Operations &amp; Maintenance Costs</v>
      </c>
      <c r="B35" s="38"/>
      <c r="C35" s="38"/>
      <c r="D35" s="44">
        <f>D10+D22+D28+D32</f>
        <v>30635</v>
      </c>
      <c r="E35" s="44">
        <f t="shared" ref="E35:AE35" si="56">E10+E22+E28+E32</f>
        <v>30635</v>
      </c>
      <c r="F35" s="44">
        <f t="shared" si="56"/>
        <v>30635</v>
      </c>
      <c r="G35" s="44">
        <f t="shared" si="56"/>
        <v>30635</v>
      </c>
      <c r="H35" s="44">
        <f t="shared" si="56"/>
        <v>30635</v>
      </c>
      <c r="I35" s="44">
        <f t="shared" si="56"/>
        <v>30635</v>
      </c>
      <c r="J35" s="44">
        <f t="shared" si="56"/>
        <v>30635</v>
      </c>
      <c r="K35" s="44">
        <f t="shared" si="56"/>
        <v>3058135</v>
      </c>
      <c r="L35" s="44">
        <f t="shared" si="56"/>
        <v>30635</v>
      </c>
      <c r="M35" s="44">
        <f t="shared" si="56"/>
        <v>30635</v>
      </c>
      <c r="N35" s="44">
        <f t="shared" si="56"/>
        <v>30635</v>
      </c>
      <c r="O35" s="44">
        <f t="shared" si="56"/>
        <v>30635</v>
      </c>
      <c r="P35" s="44">
        <f t="shared" si="56"/>
        <v>30635</v>
      </c>
      <c r="Q35" s="44">
        <f t="shared" si="56"/>
        <v>30635</v>
      </c>
      <c r="R35" s="44">
        <f t="shared" si="56"/>
        <v>30635</v>
      </c>
      <c r="S35" s="44">
        <f t="shared" si="56"/>
        <v>30635</v>
      </c>
      <c r="T35" s="44">
        <f t="shared" si="56"/>
        <v>30635</v>
      </c>
      <c r="U35" s="44">
        <f t="shared" si="56"/>
        <v>3058135</v>
      </c>
      <c r="V35" s="44">
        <f t="shared" si="56"/>
        <v>30635</v>
      </c>
      <c r="W35" s="44">
        <f t="shared" si="56"/>
        <v>30635</v>
      </c>
      <c r="X35" s="44">
        <f t="shared" si="56"/>
        <v>30635</v>
      </c>
      <c r="Y35" s="44">
        <f t="shared" si="56"/>
        <v>30635</v>
      </c>
      <c r="Z35" s="44">
        <f t="shared" si="56"/>
        <v>30635</v>
      </c>
      <c r="AA35" s="44">
        <f t="shared" si="56"/>
        <v>30635</v>
      </c>
      <c r="AB35" s="44">
        <f t="shared" si="56"/>
        <v>30635</v>
      </c>
      <c r="AC35" s="44">
        <f t="shared" si="56"/>
        <v>30635</v>
      </c>
      <c r="AD35" s="44">
        <f t="shared" si="56"/>
        <v>30635</v>
      </c>
      <c r="AE35" s="44">
        <f t="shared" si="56"/>
        <v>3058135</v>
      </c>
      <c r="AF35" s="44">
        <f t="shared" ref="AF35:AG35" si="57">AF10+AF22+AF28+AF32</f>
        <v>30635</v>
      </c>
      <c r="AG35" s="44">
        <f t="shared" si="57"/>
        <v>30635</v>
      </c>
      <c r="AH35" s="44">
        <f t="shared" ref="AH35:AQ35" si="58">AH10+AH22+AH28+AH32</f>
        <v>30635</v>
      </c>
      <c r="AI35" s="44">
        <f t="shared" si="58"/>
        <v>30635</v>
      </c>
      <c r="AJ35" s="44">
        <f t="shared" si="58"/>
        <v>30635</v>
      </c>
      <c r="AK35" s="44">
        <f t="shared" si="58"/>
        <v>30635</v>
      </c>
      <c r="AL35" s="44">
        <f t="shared" si="58"/>
        <v>30635</v>
      </c>
      <c r="AM35" s="44">
        <f t="shared" si="58"/>
        <v>30635</v>
      </c>
      <c r="AN35" s="44">
        <f t="shared" si="58"/>
        <v>30635</v>
      </c>
      <c r="AO35" s="44">
        <f t="shared" si="58"/>
        <v>3058135</v>
      </c>
      <c r="AP35" s="44">
        <f t="shared" si="58"/>
        <v>30635</v>
      </c>
      <c r="AQ35" s="44">
        <f t="shared" si="58"/>
        <v>30635</v>
      </c>
      <c r="AR35" s="44">
        <f t="shared" ref="AR35" si="59">AR10+AR22+AR28+AR32</f>
        <v>30635</v>
      </c>
    </row>
    <row r="36" spans="1:44">
      <c r="A36" s="26" t="str">
        <f>"PREFERRED (With "&amp;'BCA Summary'!$E$1&amp;") Operations &amp; Maintenance Costs"</f>
        <v>PREFERRED (With BUILD Grant) Operations &amp; Maintenance Costs</v>
      </c>
      <c r="D36" s="45">
        <f>D11+D23+D29+D33</f>
        <v>30635</v>
      </c>
      <c r="E36" s="45">
        <f t="shared" ref="E36:AE36" si="60">E11+E23+E29+E33</f>
        <v>30635</v>
      </c>
      <c r="F36" s="45">
        <f t="shared" si="60"/>
        <v>30635</v>
      </c>
      <c r="G36" s="45">
        <f t="shared" si="60"/>
        <v>30635</v>
      </c>
      <c r="H36" s="45">
        <f t="shared" si="60"/>
        <v>30635</v>
      </c>
      <c r="I36" s="45">
        <f t="shared" si="60"/>
        <v>30635</v>
      </c>
      <c r="J36" s="45">
        <f t="shared" si="60"/>
        <v>30635</v>
      </c>
      <c r="K36" s="45">
        <f t="shared" si="60"/>
        <v>3058135</v>
      </c>
      <c r="L36" s="45">
        <f t="shared" si="60"/>
        <v>30635</v>
      </c>
      <c r="M36" s="45">
        <f t="shared" si="60"/>
        <v>30635</v>
      </c>
      <c r="N36" s="45">
        <f t="shared" si="60"/>
        <v>30635</v>
      </c>
      <c r="O36" s="45">
        <f t="shared" si="60"/>
        <v>30635</v>
      </c>
      <c r="P36" s="45">
        <f t="shared" si="60"/>
        <v>30635</v>
      </c>
      <c r="Q36" s="45">
        <f t="shared" si="60"/>
        <v>30635</v>
      </c>
      <c r="R36" s="45">
        <f t="shared" si="60"/>
        <v>30635</v>
      </c>
      <c r="S36" s="45">
        <f t="shared" si="60"/>
        <v>113885</v>
      </c>
      <c r="T36" s="45">
        <f t="shared" si="60"/>
        <v>113885</v>
      </c>
      <c r="U36" s="45">
        <f t="shared" si="60"/>
        <v>113885</v>
      </c>
      <c r="V36" s="45">
        <f t="shared" si="60"/>
        <v>113885</v>
      </c>
      <c r="W36" s="45">
        <f t="shared" si="60"/>
        <v>113885</v>
      </c>
      <c r="X36" s="45">
        <f t="shared" si="60"/>
        <v>113885</v>
      </c>
      <c r="Y36" s="45">
        <f t="shared" si="60"/>
        <v>113885</v>
      </c>
      <c r="Z36" s="45">
        <f t="shared" si="60"/>
        <v>113885</v>
      </c>
      <c r="AA36" s="45">
        <f t="shared" si="60"/>
        <v>113885</v>
      </c>
      <c r="AB36" s="45">
        <f t="shared" si="60"/>
        <v>113885</v>
      </c>
      <c r="AC36" s="45">
        <f t="shared" si="60"/>
        <v>4338385</v>
      </c>
      <c r="AD36" s="45">
        <f t="shared" si="60"/>
        <v>113885</v>
      </c>
      <c r="AE36" s="45">
        <f t="shared" si="60"/>
        <v>113885</v>
      </c>
      <c r="AF36" s="45">
        <f t="shared" ref="AF36:AG36" si="61">AF11+AF23+AF29+AF33</f>
        <v>113885</v>
      </c>
      <c r="AG36" s="45">
        <f t="shared" si="61"/>
        <v>113885</v>
      </c>
      <c r="AH36" s="45">
        <f t="shared" ref="AH36:AQ36" si="62">AH11+AH23+AH29+AH33</f>
        <v>113885</v>
      </c>
      <c r="AI36" s="45">
        <f t="shared" si="62"/>
        <v>113885</v>
      </c>
      <c r="AJ36" s="45">
        <f t="shared" si="62"/>
        <v>113885</v>
      </c>
      <c r="AK36" s="45">
        <f t="shared" si="62"/>
        <v>113885</v>
      </c>
      <c r="AL36" s="45">
        <f t="shared" si="62"/>
        <v>113885</v>
      </c>
      <c r="AM36" s="45">
        <f t="shared" si="62"/>
        <v>4338385</v>
      </c>
      <c r="AN36" s="45">
        <f t="shared" si="62"/>
        <v>113885</v>
      </c>
      <c r="AO36" s="45">
        <f t="shared" si="62"/>
        <v>113885</v>
      </c>
      <c r="AP36" s="45">
        <f t="shared" si="62"/>
        <v>113885</v>
      </c>
      <c r="AQ36" s="45">
        <f t="shared" si="62"/>
        <v>113885</v>
      </c>
      <c r="AR36" s="45">
        <f t="shared" ref="AR36" si="63">AR11+AR23+AR29+AR33</f>
        <v>113885</v>
      </c>
    </row>
    <row r="37" spans="1:44">
      <c r="A37" s="39" t="s">
        <v>476</v>
      </c>
      <c r="B37" s="40"/>
      <c r="C37" s="40"/>
      <c r="D37" s="41">
        <f>D35-D36</f>
        <v>0</v>
      </c>
      <c r="E37" s="41">
        <f t="shared" ref="E37:AE37" si="64">E35-E36</f>
        <v>0</v>
      </c>
      <c r="F37" s="41">
        <f t="shared" si="64"/>
        <v>0</v>
      </c>
      <c r="G37" s="41">
        <f t="shared" si="64"/>
        <v>0</v>
      </c>
      <c r="H37" s="41">
        <f t="shared" si="64"/>
        <v>0</v>
      </c>
      <c r="I37" s="41">
        <f t="shared" si="64"/>
        <v>0</v>
      </c>
      <c r="J37" s="41">
        <f t="shared" si="64"/>
        <v>0</v>
      </c>
      <c r="K37" s="41">
        <f t="shared" si="64"/>
        <v>0</v>
      </c>
      <c r="L37" s="41">
        <f t="shared" si="64"/>
        <v>0</v>
      </c>
      <c r="M37" s="41">
        <f t="shared" si="64"/>
        <v>0</v>
      </c>
      <c r="N37" s="41">
        <f t="shared" si="64"/>
        <v>0</v>
      </c>
      <c r="O37" s="41">
        <f t="shared" si="64"/>
        <v>0</v>
      </c>
      <c r="P37" s="41">
        <f t="shared" si="64"/>
        <v>0</v>
      </c>
      <c r="Q37" s="41">
        <f t="shared" si="64"/>
        <v>0</v>
      </c>
      <c r="R37" s="41">
        <f t="shared" si="64"/>
        <v>0</v>
      </c>
      <c r="S37" s="41">
        <f t="shared" si="64"/>
        <v>-83250</v>
      </c>
      <c r="T37" s="41">
        <f t="shared" si="64"/>
        <v>-83250</v>
      </c>
      <c r="U37" s="41">
        <f t="shared" si="64"/>
        <v>2944250</v>
      </c>
      <c r="V37" s="41">
        <f t="shared" si="64"/>
        <v>-83250</v>
      </c>
      <c r="W37" s="41">
        <f t="shared" si="64"/>
        <v>-83250</v>
      </c>
      <c r="X37" s="41">
        <f t="shared" si="64"/>
        <v>-83250</v>
      </c>
      <c r="Y37" s="41">
        <f t="shared" si="64"/>
        <v>-83250</v>
      </c>
      <c r="Z37" s="41">
        <f t="shared" si="64"/>
        <v>-83250</v>
      </c>
      <c r="AA37" s="41">
        <f t="shared" si="64"/>
        <v>-83250</v>
      </c>
      <c r="AB37" s="41">
        <f t="shared" si="64"/>
        <v>-83250</v>
      </c>
      <c r="AC37" s="41">
        <f t="shared" si="64"/>
        <v>-4307750</v>
      </c>
      <c r="AD37" s="41">
        <f t="shared" si="64"/>
        <v>-83250</v>
      </c>
      <c r="AE37" s="41">
        <f t="shared" si="64"/>
        <v>2944250</v>
      </c>
      <c r="AF37" s="41">
        <f t="shared" ref="AF37:AG37" si="65">AF35-AF36</f>
        <v>-83250</v>
      </c>
      <c r="AG37" s="41">
        <f t="shared" si="65"/>
        <v>-83250</v>
      </c>
      <c r="AH37" s="41">
        <f t="shared" ref="AH37:AQ37" si="66">AH35-AH36</f>
        <v>-83250</v>
      </c>
      <c r="AI37" s="41">
        <f t="shared" si="66"/>
        <v>-83250</v>
      </c>
      <c r="AJ37" s="41">
        <f t="shared" si="66"/>
        <v>-83250</v>
      </c>
      <c r="AK37" s="41">
        <f t="shared" si="66"/>
        <v>-83250</v>
      </c>
      <c r="AL37" s="41">
        <f t="shared" si="66"/>
        <v>-83250</v>
      </c>
      <c r="AM37" s="41">
        <f t="shared" si="66"/>
        <v>-4307750</v>
      </c>
      <c r="AN37" s="41">
        <f t="shared" si="66"/>
        <v>-83250</v>
      </c>
      <c r="AO37" s="41">
        <f t="shared" si="66"/>
        <v>2944250</v>
      </c>
      <c r="AP37" s="41">
        <f t="shared" si="66"/>
        <v>-83250</v>
      </c>
      <c r="AQ37" s="41">
        <f t="shared" si="66"/>
        <v>-83250</v>
      </c>
      <c r="AR37" s="41">
        <f t="shared" ref="AR37" si="67">AR35-AR36</f>
        <v>-83250</v>
      </c>
    </row>
    <row r="38" spans="1:44">
      <c r="C38"/>
    </row>
    <row r="39" spans="1:44" ht="16" thickBot="1">
      <c r="A39" s="32" t="s">
        <v>27</v>
      </c>
      <c r="B39" s="32"/>
      <c r="C39" s="3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6"/>
      <c r="R39" s="46"/>
      <c r="S39" s="46"/>
      <c r="T39" s="46"/>
      <c r="U39" s="46"/>
      <c r="V39" s="46"/>
    </row>
    <row r="40" spans="1:44" s="31" customFormat="1" ht="15">
      <c r="A40" s="31" t="s">
        <v>282</v>
      </c>
      <c r="D40" s="194" t="s">
        <v>283</v>
      </c>
      <c r="E40" s="195"/>
      <c r="F40" s="194" t="s">
        <v>461</v>
      </c>
      <c r="H40" s="196" t="s">
        <v>424</v>
      </c>
      <c r="I40" s="195"/>
      <c r="J40" s="195"/>
      <c r="K40" s="195"/>
      <c r="L40" s="195"/>
      <c r="M40" s="195"/>
      <c r="N40" s="195"/>
      <c r="O40" s="195"/>
      <c r="P40" s="195"/>
      <c r="Q40" s="195"/>
      <c r="R40" s="195"/>
      <c r="S40" s="195"/>
      <c r="T40" s="195"/>
      <c r="U40" s="195"/>
      <c r="V40" s="195"/>
      <c r="W40" s="195"/>
      <c r="X40" s="195"/>
      <c r="Y40" s="195"/>
      <c r="Z40" s="195"/>
      <c r="AA40" s="195"/>
      <c r="AB40" s="195"/>
      <c r="AC40" s="195"/>
    </row>
    <row r="41" spans="1:44">
      <c r="A41" t="s">
        <v>178</v>
      </c>
      <c r="D41" s="27">
        <v>87000</v>
      </c>
      <c r="E41" t="s">
        <v>199</v>
      </c>
      <c r="F41" s="130">
        <f>D41*$D$47</f>
        <v>108750</v>
      </c>
      <c r="H41" s="90" t="s">
        <v>180</v>
      </c>
    </row>
    <row r="42" spans="1:44">
      <c r="A42" t="s">
        <v>179</v>
      </c>
      <c r="D42" s="27">
        <v>10200</v>
      </c>
      <c r="E42" t="s">
        <v>200</v>
      </c>
      <c r="F42" s="130">
        <f t="shared" ref="F42:F44" si="68">D42*$D$47</f>
        <v>12750</v>
      </c>
      <c r="H42" s="90" t="s">
        <v>384</v>
      </c>
    </row>
    <row r="43" spans="1:44" ht="14">
      <c r="A43" t="s">
        <v>28</v>
      </c>
      <c r="D43" s="27">
        <v>1027</v>
      </c>
      <c r="E43" s="110" t="s">
        <v>165</v>
      </c>
      <c r="F43" s="130">
        <f t="shared" si="68"/>
        <v>1283.75</v>
      </c>
      <c r="H43" s="90" t="s">
        <v>166</v>
      </c>
    </row>
    <row r="44" spans="1:44" ht="14">
      <c r="A44" t="s">
        <v>172</v>
      </c>
      <c r="D44" s="27">
        <v>35</v>
      </c>
      <c r="E44" s="110" t="s">
        <v>173</v>
      </c>
      <c r="F44" s="130">
        <f t="shared" si="68"/>
        <v>43.75</v>
      </c>
      <c r="H44" s="90"/>
    </row>
    <row r="45" spans="1:44">
      <c r="A45"/>
      <c r="D45" s="27"/>
      <c r="E45" s="110"/>
      <c r="H45"/>
    </row>
    <row r="46" spans="1:44">
      <c r="A46"/>
      <c r="D46" s="239" t="s">
        <v>462</v>
      </c>
      <c r="E46" s="1"/>
      <c r="H46"/>
    </row>
    <row r="47" spans="1:44">
      <c r="A47"/>
      <c r="D47" s="109">
        <v>1.25</v>
      </c>
      <c r="E47" s="109">
        <v>2017</v>
      </c>
      <c r="F47" t="s">
        <v>436</v>
      </c>
      <c r="H47"/>
    </row>
    <row r="48" spans="1:44">
      <c r="A48"/>
      <c r="H48"/>
    </row>
    <row r="49" spans="1:30" ht="15">
      <c r="A49" s="31" t="str">
        <f>'Timeline &amp; Costs'!A11</f>
        <v>US 85/120th Avenue Grade-Separation and Interchange Project</v>
      </c>
      <c r="D49" s="1"/>
      <c r="P49" s="110"/>
      <c r="Q49" s="110"/>
      <c r="R49" s="110"/>
      <c r="S49" s="110"/>
      <c r="T49" s="110"/>
      <c r="U49" s="110"/>
      <c r="V49" s="110"/>
      <c r="W49" s="110"/>
      <c r="AD49" s="22"/>
    </row>
    <row r="50" spans="1:30" ht="14">
      <c r="B50" t="s">
        <v>169</v>
      </c>
      <c r="D50" s="88">
        <v>120700</v>
      </c>
      <c r="E50" s="110" t="s">
        <v>170</v>
      </c>
    </row>
    <row r="51" spans="1:30" ht="14">
      <c r="B51" t="s">
        <v>171</v>
      </c>
      <c r="D51" s="88">
        <v>86500</v>
      </c>
      <c r="E51" s="110" t="s">
        <v>170</v>
      </c>
    </row>
  </sheetData>
  <pageMargins left="0.25" right="0.25" top="0.75" bottom="0.75" header="0.3" footer="0.3"/>
  <pageSetup paperSize="17" scale="4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7"/>
  </sheetPr>
  <dimension ref="A1:K9"/>
  <sheetViews>
    <sheetView zoomScaleNormal="100" workbookViewId="0">
      <pane xSplit="3" topLeftCell="D1" activePane="topRight" state="frozen"/>
      <selection activeCell="A4" sqref="A4"/>
      <selection pane="topRight" activeCell="D6" sqref="D6"/>
    </sheetView>
  </sheetViews>
  <sheetFormatPr baseColWidth="10" defaultColWidth="9.19921875" defaultRowHeight="13"/>
  <cols>
    <col min="1" max="2" width="3.3984375" style="1" customWidth="1"/>
    <col min="3" max="3" width="92.59765625" style="1" customWidth="1"/>
    <col min="4" max="4" width="15.59765625" style="22" customWidth="1"/>
    <col min="5" max="11" width="16" style="1" customWidth="1"/>
    <col min="12" max="16384" width="9.19921875" style="1"/>
  </cols>
  <sheetData>
    <row r="1" spans="1:11" ht="20" thickBot="1">
      <c r="A1" s="19" t="s">
        <v>142</v>
      </c>
      <c r="B1" s="19"/>
      <c r="C1" s="19"/>
      <c r="D1" s="20"/>
      <c r="E1" s="20"/>
      <c r="F1" s="20"/>
      <c r="G1" s="20"/>
      <c r="H1" s="20"/>
      <c r="I1" s="20"/>
      <c r="J1" s="20"/>
      <c r="K1" s="20"/>
    </row>
    <row r="2" spans="1:11" ht="19" thickTop="1" thickBot="1">
      <c r="A2" s="2" t="str">
        <f>'BCA Summary'!A2</f>
        <v>US 85/120th Avenue Grade-Separation and Interchange Project</v>
      </c>
      <c r="B2" s="17"/>
      <c r="C2" s="17"/>
      <c r="D2" s="21"/>
      <c r="E2" s="21"/>
      <c r="F2" s="21"/>
      <c r="G2" s="21"/>
      <c r="H2" s="21"/>
      <c r="I2" s="21"/>
      <c r="J2" s="21"/>
      <c r="K2" s="21"/>
    </row>
    <row r="3" spans="1:11" ht="14" thickTop="1">
      <c r="A3" s="23"/>
      <c r="B3" s="23"/>
      <c r="C3" s="23"/>
    </row>
    <row r="4" spans="1:11" s="24" customFormat="1" ht="42">
      <c r="D4" s="107" t="s">
        <v>463</v>
      </c>
      <c r="E4" s="151" t="s">
        <v>105</v>
      </c>
      <c r="F4" s="107" t="s">
        <v>106</v>
      </c>
      <c r="G4" s="107" t="s">
        <v>107</v>
      </c>
      <c r="H4" s="107" t="s">
        <v>109</v>
      </c>
      <c r="I4" s="107" t="s">
        <v>108</v>
      </c>
      <c r="J4" s="107" t="s">
        <v>110</v>
      </c>
      <c r="K4" s="107" t="s">
        <v>104</v>
      </c>
    </row>
    <row r="5" spans="1:11" s="22" customFormat="1" ht="15">
      <c r="A5" s="97" t="str">
        <f>'Timeline &amp; Costs'!A11</f>
        <v>US 85/120th Avenue Grade-Separation and Interchange Project</v>
      </c>
      <c r="B5" s="97"/>
      <c r="C5" s="97"/>
      <c r="D5" s="136">
        <f>SUM('Timeline &amp; Costs'!P27:S27)</f>
        <v>100295401</v>
      </c>
      <c r="E5" s="124">
        <v>75</v>
      </c>
      <c r="F5" s="22">
        <v>2029</v>
      </c>
      <c r="G5" s="22">
        <f>MAX('Summary of Benefits'!4:4)</f>
        <v>2055</v>
      </c>
      <c r="H5" s="51">
        <f>E5-(G5-F5)</f>
        <v>49</v>
      </c>
      <c r="I5" s="95">
        <f>H5/E5</f>
        <v>0.65333333333333332</v>
      </c>
      <c r="J5" s="130">
        <f>('Operations &amp; Maintenance'!D44*'Operations &amp; Maintenance'!D50*4+('Operations &amp; Maintenance'!L29*'Residual Value'!H5))</f>
        <v>17522750</v>
      </c>
      <c r="K5" s="130">
        <f>(I5*D5)-J5</f>
        <v>48003578.653333329</v>
      </c>
    </row>
    <row r="6" spans="1:11" ht="15">
      <c r="A6" s="97" t="s">
        <v>148</v>
      </c>
      <c r="B6" s="97"/>
      <c r="C6" s="97"/>
      <c r="D6" s="130"/>
      <c r="E6" s="131"/>
      <c r="G6" s="22"/>
      <c r="H6" s="51"/>
      <c r="I6" s="95"/>
      <c r="J6" s="132"/>
      <c r="K6" s="136">
        <f>SUM('Timeline &amp; Costs'!E36:R36)</f>
        <v>40858656.696000002</v>
      </c>
    </row>
    <row r="7" spans="1:11">
      <c r="I7" s="23"/>
      <c r="J7" s="72" t="s">
        <v>111</v>
      </c>
      <c r="K7" s="133">
        <f>SUM(K5:K6)</f>
        <v>88862235.349333331</v>
      </c>
    </row>
    <row r="8" spans="1:11">
      <c r="J8" s="134" t="s">
        <v>473</v>
      </c>
      <c r="K8" s="136">
        <f>K7/(1.07^(G5-'BCA Summary'!C37))</f>
        <v>10909883.814723926</v>
      </c>
    </row>
    <row r="9" spans="1:11" ht="14">
      <c r="I9" t="s">
        <v>145</v>
      </c>
      <c r="J9" s="134" t="s">
        <v>145</v>
      </c>
      <c r="K9" s="136" t="s">
        <v>145</v>
      </c>
    </row>
  </sheetData>
  <pageMargins left="0.7" right="0.7" top="0.75" bottom="0.75" header="0.3" footer="0.3"/>
  <pageSetup paperSize="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tabColor theme="6"/>
  </sheetPr>
  <dimension ref="A1:AS64"/>
  <sheetViews>
    <sheetView zoomScaleNormal="100" workbookViewId="0">
      <selection activeCell="A30" sqref="A30:XFD34"/>
    </sheetView>
  </sheetViews>
  <sheetFormatPr baseColWidth="10" defaultColWidth="9.19921875" defaultRowHeight="13"/>
  <cols>
    <col min="1" max="3" width="3.3984375" style="1" customWidth="1"/>
    <col min="4" max="4" width="77.59765625" style="1" customWidth="1"/>
    <col min="5" max="5" width="12" style="22" customWidth="1"/>
    <col min="6" max="6" width="12.19921875" style="22" customWidth="1"/>
    <col min="7" max="14" width="12" style="22" customWidth="1"/>
    <col min="15" max="15" width="12" style="22" bestFit="1" customWidth="1"/>
    <col min="16" max="19" width="12" style="22" customWidth="1"/>
    <col min="20" max="20" width="12" style="22" bestFit="1" customWidth="1"/>
    <col min="21" max="24" width="12" style="22" customWidth="1"/>
    <col min="25" max="25" width="12" style="22" bestFit="1" customWidth="1"/>
    <col min="26" max="29" width="12" style="22" customWidth="1"/>
    <col min="30" max="30" width="13.59765625" style="22" bestFit="1" customWidth="1"/>
    <col min="31" max="32" width="13.59765625" style="1" customWidth="1"/>
    <col min="33" max="33" width="11" style="1" bestFit="1" customWidth="1"/>
    <col min="34" max="45" width="11.3984375" style="1" bestFit="1" customWidth="1"/>
    <col min="46" max="16384" width="9.19921875" style="1"/>
  </cols>
  <sheetData>
    <row r="1" spans="1:45" ht="20" thickBot="1">
      <c r="A1" s="19" t="s">
        <v>96</v>
      </c>
      <c r="B1" s="19"/>
      <c r="C1" s="19"/>
      <c r="D1" s="19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</row>
    <row r="2" spans="1:45" ht="19" thickTop="1" thickBot="1">
      <c r="A2" s="2" t="str">
        <f>'BCA Summary'!A2</f>
        <v>US 85/120th Avenue Grade-Separation and Interchange Project</v>
      </c>
      <c r="B2" s="17"/>
      <c r="C2" s="17"/>
      <c r="D2" s="17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</row>
    <row r="3" spans="1:45" ht="14" thickTop="1">
      <c r="A3" s="23"/>
      <c r="B3" s="23"/>
      <c r="C3" s="23"/>
      <c r="D3" s="23"/>
    </row>
    <row r="4" spans="1:45" s="18" customFormat="1" ht="17">
      <c r="A4" s="24"/>
      <c r="B4" s="24"/>
      <c r="C4" s="24"/>
      <c r="D4" s="24"/>
      <c r="E4" s="150">
        <f>'Summary of Benefits'!E4</f>
        <v>2015</v>
      </c>
      <c r="F4" s="150">
        <f>'Summary of Benefits'!F4</f>
        <v>2016</v>
      </c>
      <c r="G4" s="150">
        <f>'Summary of Benefits'!G4</f>
        <v>2017</v>
      </c>
      <c r="H4" s="150">
        <f>'Summary of Benefits'!H4</f>
        <v>2018</v>
      </c>
      <c r="I4" s="150">
        <f>'Summary of Benefits'!I4</f>
        <v>2019</v>
      </c>
      <c r="J4" s="150">
        <f>'Summary of Benefits'!J4</f>
        <v>2020</v>
      </c>
      <c r="K4" s="150">
        <f>'Summary of Benefits'!K4</f>
        <v>2021</v>
      </c>
      <c r="L4" s="150">
        <f>'Summary of Benefits'!L4</f>
        <v>2022</v>
      </c>
      <c r="M4" s="150">
        <f>'Summary of Benefits'!M4</f>
        <v>2023</v>
      </c>
      <c r="N4" s="150">
        <f>'Summary of Benefits'!N4</f>
        <v>2024</v>
      </c>
      <c r="O4" s="150">
        <f>'Summary of Benefits'!O4</f>
        <v>2025</v>
      </c>
      <c r="P4" s="150">
        <f>'Summary of Benefits'!P4</f>
        <v>2026</v>
      </c>
      <c r="Q4" s="150">
        <f>'Summary of Benefits'!Q4</f>
        <v>2027</v>
      </c>
      <c r="R4" s="150">
        <f>'Summary of Benefits'!R4</f>
        <v>2028</v>
      </c>
      <c r="S4" s="150">
        <f>'Summary of Benefits'!S4</f>
        <v>2029</v>
      </c>
      <c r="T4" s="150">
        <f>'Summary of Benefits'!T4</f>
        <v>2030</v>
      </c>
      <c r="U4" s="150">
        <f>'Summary of Benefits'!U4</f>
        <v>2031</v>
      </c>
      <c r="V4" s="150">
        <f>'Summary of Benefits'!V4</f>
        <v>2032</v>
      </c>
      <c r="W4" s="150">
        <f>'Summary of Benefits'!W4</f>
        <v>2033</v>
      </c>
      <c r="X4" s="150">
        <f>'Summary of Benefits'!X4</f>
        <v>2034</v>
      </c>
      <c r="Y4" s="150">
        <f>'Summary of Benefits'!Y4</f>
        <v>2035</v>
      </c>
      <c r="Z4" s="150">
        <f>'Summary of Benefits'!Z4</f>
        <v>2036</v>
      </c>
      <c r="AA4" s="150">
        <f>'Summary of Benefits'!AA4</f>
        <v>2037</v>
      </c>
      <c r="AB4" s="150">
        <f>'Summary of Benefits'!AB4</f>
        <v>2038</v>
      </c>
      <c r="AC4" s="150">
        <f>'Summary of Benefits'!AC4</f>
        <v>2039</v>
      </c>
      <c r="AD4" s="150">
        <f>'Summary of Benefits'!AD4</f>
        <v>2040</v>
      </c>
      <c r="AE4" s="150">
        <f>'Summary of Benefits'!AE4</f>
        <v>2041</v>
      </c>
      <c r="AF4" s="150">
        <f>'Summary of Benefits'!AF4</f>
        <v>2042</v>
      </c>
      <c r="AG4" s="150">
        <f>'Summary of Benefits'!AG4</f>
        <v>2043</v>
      </c>
      <c r="AH4" s="150">
        <f>'Summary of Benefits'!AH4</f>
        <v>2044</v>
      </c>
      <c r="AI4" s="150">
        <f>'Summary of Benefits'!AI4</f>
        <v>2045</v>
      </c>
      <c r="AJ4" s="150">
        <f>'Summary of Benefits'!AJ4</f>
        <v>2046</v>
      </c>
      <c r="AK4" s="150">
        <f>'Summary of Benefits'!AK4</f>
        <v>2047</v>
      </c>
      <c r="AL4" s="150">
        <f>'Summary of Benefits'!AL4</f>
        <v>2048</v>
      </c>
      <c r="AM4" s="150">
        <f>'Summary of Benefits'!AM4</f>
        <v>2049</v>
      </c>
      <c r="AN4" s="150">
        <f>'Summary of Benefits'!AN4</f>
        <v>2050</v>
      </c>
      <c r="AO4" s="150">
        <f>'Summary of Benefits'!AO4</f>
        <v>2051</v>
      </c>
      <c r="AP4" s="150">
        <f>'Summary of Benefits'!AP4</f>
        <v>2052</v>
      </c>
      <c r="AQ4" s="150">
        <f>'Summary of Benefits'!AQ4</f>
        <v>2053</v>
      </c>
      <c r="AR4" s="150">
        <f>'Summary of Benefits'!AR4</f>
        <v>2054</v>
      </c>
      <c r="AS4" s="150">
        <f>'Summary of Benefits'!AS4</f>
        <v>2055</v>
      </c>
    </row>
    <row r="5" spans="1:45" ht="16" thickBot="1">
      <c r="A5" s="32" t="str">
        <f>'Timeline &amp; Costs'!A11</f>
        <v>US 85/120th Avenue Grade-Separation and Interchange Project</v>
      </c>
      <c r="B5" s="32"/>
      <c r="C5" s="32"/>
      <c r="D5" s="32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</row>
    <row r="6" spans="1:45">
      <c r="B6" s="153" t="str">
        <f>"Baseline (No "&amp;'BCA Summary'!$E$1&amp;" Grant) Benefits"</f>
        <v>Baseline (No BUILD Grant Grant) Benefits</v>
      </c>
      <c r="C6" s="47"/>
      <c r="D6" s="34"/>
      <c r="E6" s="35" t="str">
        <f>'Timeline &amp; Costs'!E$8</f>
        <v>No</v>
      </c>
      <c r="F6" s="35" t="str">
        <f>'Timeline &amp; Costs'!F$8</f>
        <v>No</v>
      </c>
      <c r="G6" s="35" t="str">
        <f>'Timeline &amp; Costs'!G$8</f>
        <v>No</v>
      </c>
      <c r="H6" s="35" t="str">
        <f>'Timeline &amp; Costs'!H$8</f>
        <v>No</v>
      </c>
      <c r="I6" s="35" t="str">
        <f>'Timeline &amp; Costs'!I$8</f>
        <v>No</v>
      </c>
      <c r="J6" s="35" t="str">
        <f>'Timeline &amp; Costs'!J$8</f>
        <v>No</v>
      </c>
      <c r="K6" s="35" t="str">
        <f>'Timeline &amp; Costs'!K$8</f>
        <v>No</v>
      </c>
      <c r="L6" s="35" t="str">
        <f>'Timeline &amp; Costs'!L$8</f>
        <v>No</v>
      </c>
      <c r="M6" s="35" t="str">
        <f>'Timeline &amp; Costs'!M$8</f>
        <v>No</v>
      </c>
      <c r="N6" s="35" t="str">
        <f>'Timeline &amp; Costs'!N$8</f>
        <v>No</v>
      </c>
      <c r="O6" s="35" t="str">
        <f>'Timeline &amp; Costs'!O$8</f>
        <v>No</v>
      </c>
      <c r="P6" s="35" t="str">
        <f>'Timeline &amp; Costs'!P$8</f>
        <v>No</v>
      </c>
      <c r="Q6" s="35" t="str">
        <f>'Timeline &amp; Costs'!Q$8</f>
        <v>No</v>
      </c>
      <c r="R6" s="35" t="str">
        <f>'Timeline &amp; Costs'!R$8</f>
        <v>No</v>
      </c>
      <c r="S6" s="35" t="str">
        <f>'Timeline &amp; Costs'!S$8</f>
        <v>No</v>
      </c>
      <c r="T6" s="35" t="str">
        <f>'Timeline &amp; Costs'!T$8</f>
        <v>No</v>
      </c>
      <c r="U6" s="35" t="str">
        <f>'Timeline &amp; Costs'!U$8</f>
        <v>No</v>
      </c>
      <c r="V6" s="35" t="str">
        <f>'Timeline &amp; Costs'!V$8</f>
        <v>No</v>
      </c>
      <c r="W6" s="35" t="str">
        <f>'Timeline &amp; Costs'!W$8</f>
        <v>No</v>
      </c>
      <c r="X6" s="35" t="str">
        <f>'Timeline &amp; Costs'!X$8</f>
        <v>No</v>
      </c>
      <c r="Y6" s="35" t="str">
        <f>'Timeline &amp; Costs'!Y$8</f>
        <v>No</v>
      </c>
      <c r="Z6" s="35" t="str">
        <f>'Timeline &amp; Costs'!Z$8</f>
        <v>No</v>
      </c>
      <c r="AA6" s="35" t="str">
        <f>'Timeline &amp; Costs'!AA$8</f>
        <v>No</v>
      </c>
      <c r="AB6" s="35" t="str">
        <f>'Timeline &amp; Costs'!AB$8</f>
        <v>No</v>
      </c>
      <c r="AC6" s="35" t="str">
        <f>'Timeline &amp; Costs'!AC$8</f>
        <v>No</v>
      </c>
      <c r="AD6" s="35" t="str">
        <f>'Timeline &amp; Costs'!AD$8</f>
        <v>No</v>
      </c>
      <c r="AE6" s="35" t="str">
        <f>'Timeline &amp; Costs'!AE$8</f>
        <v>No</v>
      </c>
      <c r="AF6" s="35" t="str">
        <f>'Timeline &amp; Costs'!AF$8</f>
        <v>No</v>
      </c>
      <c r="AG6" s="35" t="str">
        <f>'Timeline &amp; Costs'!AG$8</f>
        <v>No</v>
      </c>
      <c r="AH6" s="35" t="str">
        <f>'Timeline &amp; Costs'!AH$8</f>
        <v>No</v>
      </c>
      <c r="AI6" s="35" t="str">
        <f>'Timeline &amp; Costs'!AI$8</f>
        <v>No</v>
      </c>
      <c r="AJ6" s="35" t="str">
        <f>'Timeline &amp; Costs'!AJ$8</f>
        <v>No</v>
      </c>
      <c r="AK6" s="35" t="str">
        <f>'Timeline &amp; Costs'!AK$8</f>
        <v>No</v>
      </c>
      <c r="AL6" s="35" t="str">
        <f>'Timeline &amp; Costs'!AL$8</f>
        <v>No</v>
      </c>
      <c r="AM6" s="35" t="str">
        <f>'Timeline &amp; Costs'!AM$8</f>
        <v>No</v>
      </c>
      <c r="AN6" s="35" t="str">
        <f>'Timeline &amp; Costs'!AN$8</f>
        <v>No</v>
      </c>
      <c r="AO6" s="35" t="str">
        <f>'Timeline &amp; Costs'!AO$8</f>
        <v>No</v>
      </c>
      <c r="AP6" s="35" t="str">
        <f>'Timeline &amp; Costs'!AP$8</f>
        <v>No</v>
      </c>
      <c r="AQ6" s="35" t="str">
        <f>'Timeline &amp; Costs'!AQ$8</f>
        <v>No</v>
      </c>
      <c r="AR6" s="35" t="str">
        <f>'Timeline &amp; Costs'!AR$8</f>
        <v>No</v>
      </c>
      <c r="AS6" s="35" t="str">
        <f>'Timeline &amp; Costs'!AS$8</f>
        <v>No</v>
      </c>
    </row>
    <row r="7" spans="1:45">
      <c r="B7" s="36" t="str">
        <f>"Preferred (With "&amp;'BCA Summary'!$E$1&amp;" Grant) Benefits"</f>
        <v>Preferred (With BUILD Grant Grant) Benefits</v>
      </c>
      <c r="C7" s="36"/>
      <c r="D7" s="34"/>
      <c r="E7" s="35">
        <f>'Timeline &amp; Costs'!E17</f>
        <v>0</v>
      </c>
      <c r="F7" s="35">
        <f>'Timeline &amp; Costs'!F17</f>
        <v>0</v>
      </c>
      <c r="G7" s="35">
        <f>'Timeline &amp; Costs'!G17</f>
        <v>0</v>
      </c>
      <c r="H7" s="35" t="str">
        <f>'Timeline &amp; Costs'!H17</f>
        <v>No</v>
      </c>
      <c r="I7" s="35" t="str">
        <f>'Timeline &amp; Costs'!I17</f>
        <v>No</v>
      </c>
      <c r="J7" s="35" t="str">
        <f>'Timeline &amp; Costs'!J17</f>
        <v>No</v>
      </c>
      <c r="K7" s="35" t="str">
        <f>'Timeline &amp; Costs'!K17</f>
        <v>No</v>
      </c>
      <c r="L7" s="35" t="str">
        <f>'Timeline &amp; Costs'!L17</f>
        <v>No</v>
      </c>
      <c r="M7" s="35" t="str">
        <f>'Timeline &amp; Costs'!M17</f>
        <v>No</v>
      </c>
      <c r="N7" s="35" t="str">
        <f>'Timeline &amp; Costs'!N17</f>
        <v>No</v>
      </c>
      <c r="O7" s="35" t="str">
        <f>'Timeline &amp; Costs'!O17</f>
        <v>No</v>
      </c>
      <c r="P7" s="35" t="str">
        <f>'Timeline &amp; Costs'!P17</f>
        <v>No</v>
      </c>
      <c r="Q7" s="35" t="str">
        <f>'Timeline &amp; Costs'!Q17</f>
        <v>No</v>
      </c>
      <c r="R7" s="35" t="str">
        <f>'Timeline &amp; Costs'!R17</f>
        <v>No</v>
      </c>
      <c r="S7" s="35" t="str">
        <f>'Timeline &amp; Costs'!S17</f>
        <v>No</v>
      </c>
      <c r="T7" s="35" t="str">
        <f>'Timeline &amp; Costs'!T17</f>
        <v>Yes</v>
      </c>
      <c r="U7" s="35" t="str">
        <f>'Timeline &amp; Costs'!U17</f>
        <v>Yes</v>
      </c>
      <c r="V7" s="35" t="str">
        <f>'Timeline &amp; Costs'!V17</f>
        <v>Yes</v>
      </c>
      <c r="W7" s="35" t="str">
        <f>'Timeline &amp; Costs'!W17</f>
        <v>Yes</v>
      </c>
      <c r="X7" s="35" t="str">
        <f>'Timeline &amp; Costs'!X17</f>
        <v>Yes</v>
      </c>
      <c r="Y7" s="35" t="str">
        <f>'Timeline &amp; Costs'!Y17</f>
        <v>Yes</v>
      </c>
      <c r="Z7" s="35" t="str">
        <f>'Timeline &amp; Costs'!Z17</f>
        <v>Yes</v>
      </c>
      <c r="AA7" s="35" t="str">
        <f>'Timeline &amp; Costs'!AA17</f>
        <v>Yes</v>
      </c>
      <c r="AB7" s="35" t="str">
        <f>'Timeline &amp; Costs'!AB17</f>
        <v>Yes</v>
      </c>
      <c r="AC7" s="35" t="str">
        <f>'Timeline &amp; Costs'!AC17</f>
        <v>Yes</v>
      </c>
      <c r="AD7" s="35" t="str">
        <f>'Timeline &amp; Costs'!AD17</f>
        <v>Yes</v>
      </c>
      <c r="AE7" s="35" t="str">
        <f>'Timeline &amp; Costs'!AE17</f>
        <v>Yes</v>
      </c>
      <c r="AF7" s="35" t="str">
        <f>'Timeline &amp; Costs'!AF17</f>
        <v>Yes</v>
      </c>
      <c r="AG7" s="35" t="str">
        <f>'Timeline &amp; Costs'!AG17</f>
        <v>Yes</v>
      </c>
      <c r="AH7" s="35" t="str">
        <f>'Timeline &amp; Costs'!AH17</f>
        <v>Yes</v>
      </c>
      <c r="AI7" s="35" t="str">
        <f>'Timeline &amp; Costs'!AI17</f>
        <v>Yes</v>
      </c>
      <c r="AJ7" s="35" t="str">
        <f>'Timeline &amp; Costs'!AJ17</f>
        <v>Yes</v>
      </c>
      <c r="AK7" s="35" t="str">
        <f>'Timeline &amp; Costs'!AK17</f>
        <v>Yes</v>
      </c>
      <c r="AL7" s="35" t="str">
        <f>'Timeline &amp; Costs'!AL17</f>
        <v>Yes</v>
      </c>
      <c r="AM7" s="35" t="str">
        <f>'Timeline &amp; Costs'!AM17</f>
        <v>Yes</v>
      </c>
      <c r="AN7" s="35" t="str">
        <f>'Timeline &amp; Costs'!AN17</f>
        <v>Yes</v>
      </c>
      <c r="AO7" s="35" t="str">
        <f>'Timeline &amp; Costs'!AO17</f>
        <v>Yes</v>
      </c>
      <c r="AP7" s="35" t="str">
        <f>'Timeline &amp; Costs'!AP17</f>
        <v>Yes</v>
      </c>
      <c r="AQ7" s="35" t="str">
        <f>'Timeline &amp; Costs'!AQ17</f>
        <v>Yes</v>
      </c>
      <c r="AR7" s="35" t="str">
        <f>'Timeline &amp; Costs'!AR17</f>
        <v>Yes</v>
      </c>
      <c r="AS7" s="35" t="str">
        <f>'Timeline &amp; Costs'!AS17</f>
        <v>Yes</v>
      </c>
    </row>
    <row r="8" spans="1:45">
      <c r="B8"/>
      <c r="C8" s="36"/>
      <c r="D8" s="34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</row>
    <row r="9" spans="1:45">
      <c r="B9" s="89" t="s">
        <v>214</v>
      </c>
      <c r="E9" s="80">
        <f>Traffic!D126</f>
        <v>86259.628935788263</v>
      </c>
      <c r="F9" s="80">
        <f>Traffic!E126</f>
        <v>98102.181957211316</v>
      </c>
      <c r="G9" s="80">
        <f>Traffic!F126</f>
        <v>109927.66100836886</v>
      </c>
      <c r="H9" s="80">
        <f>Traffic!G126</f>
        <v>121736.06608926084</v>
      </c>
      <c r="I9" s="80">
        <f>Traffic!H126</f>
        <v>133527.39719988726</v>
      </c>
      <c r="J9" s="80">
        <f>Traffic!I126</f>
        <v>145301.65434024823</v>
      </c>
      <c r="K9" s="80">
        <f>Traffic!J126</f>
        <v>157058.83751034355</v>
      </c>
      <c r="L9" s="80">
        <f>Traffic!K126</f>
        <v>168798.94671017348</v>
      </c>
      <c r="M9" s="80">
        <f>Traffic!L126</f>
        <v>180521.98193973777</v>
      </c>
      <c r="N9" s="80">
        <f>Traffic!M126</f>
        <v>192227.94319903653</v>
      </c>
      <c r="O9" s="80">
        <f>Traffic!N126</f>
        <v>203916.8304880698</v>
      </c>
      <c r="P9" s="80">
        <f>Traffic!O126</f>
        <v>215588.64380683756</v>
      </c>
      <c r="Q9" s="80">
        <f>Traffic!P126</f>
        <v>227243.38315533969</v>
      </c>
      <c r="R9" s="80">
        <f>Traffic!Q126</f>
        <v>238881.04853357631</v>
      </c>
      <c r="S9" s="80">
        <f>Traffic!R126</f>
        <v>250501.63994154747</v>
      </c>
      <c r="T9" s="80">
        <f>Traffic!S126</f>
        <v>262105.15737925313</v>
      </c>
      <c r="U9" s="80">
        <f>Traffic!T126</f>
        <v>273691.60084669309</v>
      </c>
      <c r="V9" s="80">
        <f>Traffic!U126</f>
        <v>285260.97034386755</v>
      </c>
      <c r="W9" s="80">
        <f>Traffic!V126</f>
        <v>296813.26587077661</v>
      </c>
      <c r="X9" s="80">
        <f>Traffic!W126</f>
        <v>308348.48742741998</v>
      </c>
      <c r="Y9" s="80">
        <f>Traffic!X126</f>
        <v>319866.63501379796</v>
      </c>
      <c r="Z9" s="80">
        <f>Traffic!Y126</f>
        <v>331367.70862991037</v>
      </c>
      <c r="AA9" s="80">
        <f>Traffic!Z126</f>
        <v>342851.70827575726</v>
      </c>
      <c r="AB9" s="80">
        <f>Traffic!AA126</f>
        <v>354318.63395133859</v>
      </c>
      <c r="AC9" s="80">
        <f>Traffic!AB126</f>
        <v>365768.48565665423</v>
      </c>
      <c r="AD9" s="80">
        <f>Traffic!AC126</f>
        <v>377201.26339170453</v>
      </c>
      <c r="AE9" s="80">
        <f>Traffic!AD126</f>
        <v>388616.96715648932</v>
      </c>
      <c r="AF9" s="80">
        <f>Traffic!AE126</f>
        <v>400015.59695100837</v>
      </c>
      <c r="AG9" s="80">
        <f>Traffic!AF126</f>
        <v>411397.15277526213</v>
      </c>
      <c r="AH9" s="80">
        <f>Traffic!AG126</f>
        <v>422761.63462925021</v>
      </c>
      <c r="AI9" s="80">
        <f>Traffic!AH126</f>
        <v>434109.04251297278</v>
      </c>
      <c r="AJ9" s="80">
        <f>Traffic!AI126</f>
        <v>445439.3764264299</v>
      </c>
      <c r="AK9" s="80">
        <f>Traffic!AJ126</f>
        <v>456752.63636962138</v>
      </c>
      <c r="AL9" s="80">
        <f>Traffic!AK126</f>
        <v>468048.82234254724</v>
      </c>
      <c r="AM9" s="80">
        <f>Traffic!AL126</f>
        <v>479327.93434520788</v>
      </c>
      <c r="AN9" s="80">
        <f>Traffic!AM126</f>
        <v>490589.97237760271</v>
      </c>
      <c r="AO9" s="80">
        <f>Traffic!AN126</f>
        <v>501834.93643973203</v>
      </c>
      <c r="AP9" s="80">
        <f>Traffic!AO126</f>
        <v>513062.8265315959</v>
      </c>
      <c r="AQ9" s="80">
        <f>Traffic!AP126</f>
        <v>524273.6426531942</v>
      </c>
      <c r="AR9" s="80">
        <f>Traffic!AQ126</f>
        <v>535467.38480452693</v>
      </c>
      <c r="AS9" s="80">
        <f>Traffic!AR126</f>
        <v>546644.05298559426</v>
      </c>
    </row>
    <row r="10" spans="1:45">
      <c r="B10" s="26" t="s">
        <v>233</v>
      </c>
      <c r="E10" s="80">
        <f>Traffic!D127</f>
        <v>86259.628935788263</v>
      </c>
      <c r="F10" s="80">
        <f>Traffic!E127</f>
        <v>98102.181957211316</v>
      </c>
      <c r="G10" s="80">
        <f>Traffic!F127</f>
        <v>109927.66100836886</v>
      </c>
      <c r="H10" s="80">
        <f>Traffic!G127</f>
        <v>121736.06608926084</v>
      </c>
      <c r="I10" s="80">
        <f>Traffic!H127</f>
        <v>133527.39719988726</v>
      </c>
      <c r="J10" s="80">
        <f>Traffic!I127</f>
        <v>145301.65434024823</v>
      </c>
      <c r="K10" s="80">
        <f>Traffic!J127</f>
        <v>157058.83751034355</v>
      </c>
      <c r="L10" s="80">
        <f>Traffic!K127</f>
        <v>168798.94671017348</v>
      </c>
      <c r="M10" s="80">
        <f>Traffic!L127</f>
        <v>180521.98193973777</v>
      </c>
      <c r="N10" s="80">
        <f>Traffic!M127</f>
        <v>192227.94319903653</v>
      </c>
      <c r="O10" s="80">
        <f>Traffic!N127</f>
        <v>203916.8304880698</v>
      </c>
      <c r="P10" s="80">
        <f>Traffic!O127</f>
        <v>215588.64380683756</v>
      </c>
      <c r="Q10" s="80">
        <f>Traffic!P127</f>
        <v>227243.38315533969</v>
      </c>
      <c r="R10" s="80">
        <f>Traffic!Q127</f>
        <v>238881.04853357631</v>
      </c>
      <c r="S10" s="80">
        <f>Traffic!R127</f>
        <v>250501.63994154747</v>
      </c>
      <c r="T10" s="80">
        <f>Traffic!S127</f>
        <v>40019.775030419492</v>
      </c>
      <c r="U10" s="80">
        <f>Traffic!T127</f>
        <v>41078.231573768106</v>
      </c>
      <c r="V10" s="80">
        <f>Traffic!U127</f>
        <v>42145.027242897137</v>
      </c>
      <c r="W10" s="80">
        <f>Traffic!V127</f>
        <v>43220.162037806607</v>
      </c>
      <c r="X10" s="80">
        <f>Traffic!W127</f>
        <v>44303.635958496518</v>
      </c>
      <c r="Y10" s="80">
        <f>Traffic!X127</f>
        <v>45395.449004966853</v>
      </c>
      <c r="Z10" s="80">
        <f>Traffic!Y127</f>
        <v>46495.601177217628</v>
      </c>
      <c r="AA10" s="80">
        <f>Traffic!Z127</f>
        <v>47604.092475248843</v>
      </c>
      <c r="AB10" s="80">
        <f>Traffic!AA127</f>
        <v>48720.922899060482</v>
      </c>
      <c r="AC10" s="80">
        <f>Traffic!AB127</f>
        <v>49846.092448652569</v>
      </c>
      <c r="AD10" s="80">
        <f>Traffic!AC127</f>
        <v>50979.601124025081</v>
      </c>
      <c r="AE10" s="80">
        <f>Traffic!AD127</f>
        <v>52121.448925178032</v>
      </c>
      <c r="AF10" s="80">
        <f>Traffic!AE127</f>
        <v>53271.635852111416</v>
      </c>
      <c r="AG10" s="80">
        <f>Traffic!AF127</f>
        <v>54430.161904825218</v>
      </c>
      <c r="AH10" s="80">
        <f>Traffic!AG127</f>
        <v>55597.027083319481</v>
      </c>
      <c r="AI10" s="80">
        <f>Traffic!AH127</f>
        <v>56772.231387594169</v>
      </c>
      <c r="AJ10" s="80">
        <f>Traffic!AI127</f>
        <v>57955.774817649282</v>
      </c>
      <c r="AK10" s="80">
        <f>Traffic!AJ127</f>
        <v>59147.657373484835</v>
      </c>
      <c r="AL10" s="80">
        <f>Traffic!AK127</f>
        <v>60347.879055100828</v>
      </c>
      <c r="AM10" s="80">
        <f>Traffic!AL127</f>
        <v>61556.439862497253</v>
      </c>
      <c r="AN10" s="80">
        <f>Traffic!AM127</f>
        <v>62773.339795674125</v>
      </c>
      <c r="AO10" s="80">
        <f>Traffic!AN127</f>
        <v>63998.578854631407</v>
      </c>
      <c r="AP10" s="80">
        <f>Traffic!AO127</f>
        <v>65232.157039369151</v>
      </c>
      <c r="AQ10" s="80">
        <f>Traffic!AP127</f>
        <v>66474.074349887291</v>
      </c>
      <c r="AR10" s="80">
        <f>Traffic!AQ127</f>
        <v>67724.330786185892</v>
      </c>
      <c r="AS10" s="80">
        <f>Traffic!AR127</f>
        <v>68982.926348264926</v>
      </c>
    </row>
    <row r="11" spans="1:45">
      <c r="B11"/>
      <c r="C11" s="36"/>
      <c r="D11" s="34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</row>
    <row r="12" spans="1:45">
      <c r="B12" s="89" t="str">
        <f>"BASELINE (No "&amp;'BCA Summary'!$E$1&amp;" Grant) total annual truck stopped delay, hrs"</f>
        <v>BASELINE (No BUILD Grant Grant) total annual truck stopped delay, hrs</v>
      </c>
      <c r="E12" s="80">
        <f>'Travel Time Savings'!E9</f>
        <v>4658.6523142117339</v>
      </c>
      <c r="F12" s="80">
        <f>'Travel Time Savings'!F9</f>
        <v>5048.50554278868</v>
      </c>
      <c r="G12" s="80">
        <f>'Travel Time Savings'!G9</f>
        <v>5455.4327416311589</v>
      </c>
      <c r="H12" s="80">
        <f>'Travel Time Savings'!H9</f>
        <v>5879.4339107391725</v>
      </c>
      <c r="I12" s="80">
        <f>'Travel Time Savings'!I9</f>
        <v>6320.5090501127188</v>
      </c>
      <c r="J12" s="80">
        <f>'Travel Time Savings'!J9</f>
        <v>6778.6581597517979</v>
      </c>
      <c r="K12" s="80">
        <f>'Travel Time Savings'!K9</f>
        <v>7253.8812396564108</v>
      </c>
      <c r="L12" s="80">
        <f>'Travel Time Savings'!L9</f>
        <v>7746.1782898265565</v>
      </c>
      <c r="M12" s="80">
        <f>'Travel Time Savings'!M9</f>
        <v>8255.5493102622386</v>
      </c>
      <c r="N12" s="80">
        <f>'Travel Time Savings'!N9</f>
        <v>8781.9943009634535</v>
      </c>
      <c r="O12" s="80">
        <f>'Travel Time Savings'!O9</f>
        <v>9325.5132619302003</v>
      </c>
      <c r="P12" s="80">
        <f>'Travel Time Savings'!P9</f>
        <v>9886.1061931624827</v>
      </c>
      <c r="Q12" s="80">
        <f>'Travel Time Savings'!Q9</f>
        <v>10463.773094660297</v>
      </c>
      <c r="R12" s="80">
        <f>'Travel Time Savings'!R9</f>
        <v>11058.513966423643</v>
      </c>
      <c r="S12" s="80">
        <f>'Travel Time Savings'!S9</f>
        <v>11670.328808452527</v>
      </c>
      <c r="T12" s="80">
        <f>'Travel Time Savings'!T9</f>
        <v>12299.217620746942</v>
      </c>
      <c r="U12" s="80">
        <f>'Travel Time Savings'!U9</f>
        <v>12945.180403306893</v>
      </c>
      <c r="V12" s="80">
        <f>'Travel Time Savings'!V9</f>
        <v>13608.217156132379</v>
      </c>
      <c r="W12" s="80">
        <f>'Travel Time Savings'!W9</f>
        <v>14288.327879223392</v>
      </c>
      <c r="X12" s="80">
        <f>'Travel Time Savings'!X9</f>
        <v>14985.512572579948</v>
      </c>
      <c r="Y12" s="80">
        <f>'Travel Time Savings'!Y9</f>
        <v>15699.771236202028</v>
      </c>
      <c r="Z12" s="80">
        <f>'Travel Time Savings'!Z9</f>
        <v>16431.103870089646</v>
      </c>
      <c r="AA12" s="80">
        <f>'Travel Time Savings'!AA9</f>
        <v>17179.510474242797</v>
      </c>
      <c r="AB12" s="80">
        <f>'Travel Time Savings'!AB9</f>
        <v>17944.991048661479</v>
      </c>
      <c r="AC12" s="80">
        <f>'Travel Time Savings'!AC9</f>
        <v>18727.545593345698</v>
      </c>
      <c r="AD12" s="80">
        <f>'Travel Time Savings'!AD9</f>
        <v>19527.174108295447</v>
      </c>
      <c r="AE12" s="80">
        <f>'Travel Time Savings'!AE9</f>
        <v>20343.87659351074</v>
      </c>
      <c r="AF12" s="80">
        <f>'Travel Time Savings'!AF9</f>
        <v>21177.653048991557</v>
      </c>
      <c r="AG12" s="80">
        <f>'Travel Time Savings'!AG9</f>
        <v>22028.503474737914</v>
      </c>
      <c r="AH12" s="80">
        <f>'Travel Time Savings'!AH9</f>
        <v>22896.427870749791</v>
      </c>
      <c r="AI12" s="80">
        <f>'Travel Time Savings'!AI9</f>
        <v>23781.426237027215</v>
      </c>
      <c r="AJ12" s="80">
        <f>'Travel Time Savings'!AJ9</f>
        <v>24683.498573570167</v>
      </c>
      <c r="AK12" s="80">
        <f>'Travel Time Savings'!AK9</f>
        <v>25602.644880378659</v>
      </c>
      <c r="AL12" s="80">
        <f>'Travel Time Savings'!AL9</f>
        <v>26538.865157452678</v>
      </c>
      <c r="AM12" s="80">
        <f>'Travel Time Savings'!AM9</f>
        <v>27492.15940479223</v>
      </c>
      <c r="AN12" s="80">
        <f>'Travel Time Savings'!AN9</f>
        <v>28462.527622397316</v>
      </c>
      <c r="AO12" s="80">
        <f>'Travel Time Savings'!AO9</f>
        <v>29449.969810267943</v>
      </c>
      <c r="AP12" s="80">
        <f>'Travel Time Savings'!AP9</f>
        <v>30454.485968404097</v>
      </c>
      <c r="AQ12" s="80">
        <f>'Travel Time Savings'!AQ9</f>
        <v>31476.076096805788</v>
      </c>
      <c r="AR12" s="80">
        <f>'Travel Time Savings'!AR9</f>
        <v>32514.740195473008</v>
      </c>
      <c r="AS12" s="80">
        <f>'Travel Time Savings'!AS9</f>
        <v>33570.47826440577</v>
      </c>
    </row>
    <row r="13" spans="1:45">
      <c r="B13" s="26" t="str">
        <f>"PREFERRED (With "&amp;'BCA Summary'!$E$1&amp;" Grant) total annual truck stopped delay, hrs"</f>
        <v>PREFERRED (With BUILD Grant Grant) total annual truck stopped delay, hrs</v>
      </c>
      <c r="E13" s="80">
        <f>'Travel Time Savings'!E10</f>
        <v>4658.6523142117339</v>
      </c>
      <c r="F13" s="80">
        <f>'Travel Time Savings'!F10</f>
        <v>5048.50554278868</v>
      </c>
      <c r="G13" s="80">
        <f>'Travel Time Savings'!G10</f>
        <v>5455.4327416311589</v>
      </c>
      <c r="H13" s="80">
        <f>'Travel Time Savings'!H10</f>
        <v>5879.4339107391725</v>
      </c>
      <c r="I13" s="80">
        <f>'Travel Time Savings'!I10</f>
        <v>6320.5090501127188</v>
      </c>
      <c r="J13" s="80">
        <f>'Travel Time Savings'!J10</f>
        <v>6778.6581597517979</v>
      </c>
      <c r="K13" s="80">
        <f>'Travel Time Savings'!K10</f>
        <v>7253.8812396564108</v>
      </c>
      <c r="L13" s="80">
        <f>'Travel Time Savings'!L10</f>
        <v>7746.1782898265565</v>
      </c>
      <c r="M13" s="80">
        <f>'Travel Time Savings'!M10</f>
        <v>8255.5493102622386</v>
      </c>
      <c r="N13" s="80">
        <f>'Travel Time Savings'!N10</f>
        <v>8781.9943009634535</v>
      </c>
      <c r="O13" s="80">
        <f>'Travel Time Savings'!O10</f>
        <v>9325.5132619302003</v>
      </c>
      <c r="P13" s="80">
        <f>'Travel Time Savings'!P10</f>
        <v>9886.1061931624827</v>
      </c>
      <c r="Q13" s="80">
        <f>'Travel Time Savings'!Q10</f>
        <v>10463.773094660297</v>
      </c>
      <c r="R13" s="80">
        <f>'Travel Time Savings'!R10</f>
        <v>11058.513966423643</v>
      </c>
      <c r="S13" s="80">
        <f>'Travel Time Savings'!S10</f>
        <v>11670.328808452527</v>
      </c>
      <c r="T13" s="80">
        <f>'Travel Time Savings'!T10</f>
        <v>3188.9477956674668</v>
      </c>
      <c r="U13" s="80">
        <f>'Travel Time Savings'!U10</f>
        <v>3273.2901653623417</v>
      </c>
      <c r="V13" s="80">
        <f>'Travel Time Savings'!V10</f>
        <v>3358.2970324651865</v>
      </c>
      <c r="W13" s="80">
        <f>'Travel Time Savings'!W10</f>
        <v>3443.9683969760035</v>
      </c>
      <c r="X13" s="80">
        <f>'Travel Time Savings'!X10</f>
        <v>3530.3042588947924</v>
      </c>
      <c r="Y13" s="80">
        <f>'Travel Time Savings'!Y10</f>
        <v>3617.3046182215508</v>
      </c>
      <c r="Z13" s="80">
        <f>'Travel Time Savings'!Z10</f>
        <v>3704.9694749562823</v>
      </c>
      <c r="AA13" s="80">
        <f>'Travel Time Savings'!AA10</f>
        <v>3793.2988290989842</v>
      </c>
      <c r="AB13" s="80">
        <f>'Travel Time Savings'!AB10</f>
        <v>3882.2926806496575</v>
      </c>
      <c r="AC13" s="80">
        <f>'Travel Time Savings'!AC10</f>
        <v>3971.9510296083035</v>
      </c>
      <c r="AD13" s="80">
        <f>'Travel Time Savings'!AD10</f>
        <v>4062.2738759749195</v>
      </c>
      <c r="AE13" s="80">
        <f>'Travel Time Savings'!AE10</f>
        <v>4153.2612197495073</v>
      </c>
      <c r="AF13" s="80">
        <f>'Travel Time Savings'!AF10</f>
        <v>4244.9130609320673</v>
      </c>
      <c r="AG13" s="80">
        <f>'Travel Time Savings'!AG10</f>
        <v>4337.2293995225964</v>
      </c>
      <c r="AH13" s="80">
        <f>'Travel Time Savings'!AH10</f>
        <v>4430.2102355210991</v>
      </c>
      <c r="AI13" s="80">
        <f>'Travel Time Savings'!AI10</f>
        <v>4523.8555689275718</v>
      </c>
      <c r="AJ13" s="80">
        <f>'Travel Time Savings'!AJ10</f>
        <v>4618.1653997420153</v>
      </c>
      <c r="AK13" s="80">
        <f>'Travel Time Savings'!AK10</f>
        <v>4713.1397279644307</v>
      </c>
      <c r="AL13" s="80">
        <f>'Travel Time Savings'!AL10</f>
        <v>4808.7785535948187</v>
      </c>
      <c r="AM13" s="80">
        <f>'Travel Time Savings'!AM10</f>
        <v>4905.0818766331777</v>
      </c>
      <c r="AN13" s="80">
        <f>'Travel Time Savings'!AN10</f>
        <v>5002.0496970795075</v>
      </c>
      <c r="AO13" s="80">
        <f>'Travel Time Savings'!AO10</f>
        <v>5099.6820149338082</v>
      </c>
      <c r="AP13" s="80">
        <f>'Travel Time Savings'!AP10</f>
        <v>5197.9788301960816</v>
      </c>
      <c r="AQ13" s="80">
        <f>'Travel Time Savings'!AQ10</f>
        <v>5296.9401428663241</v>
      </c>
      <c r="AR13" s="80">
        <f>'Travel Time Savings'!AR10</f>
        <v>5396.5659529445402</v>
      </c>
      <c r="AS13" s="80">
        <f>'Travel Time Savings'!AS10</f>
        <v>5496.8562604307263</v>
      </c>
    </row>
    <row r="14" spans="1:45">
      <c r="A14" s="23"/>
      <c r="B14"/>
      <c r="C14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</row>
    <row r="15" spans="1:45" ht="16" thickBot="1">
      <c r="A15" s="32" t="s">
        <v>373</v>
      </c>
      <c r="B15" s="32"/>
      <c r="C15" s="32"/>
      <c r="D15" s="32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</row>
    <row r="16" spans="1:45" s="31" customFormat="1" ht="15">
      <c r="A16" s="31" t="s">
        <v>93</v>
      </c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  <c r="AQ16" s="112"/>
      <c r="AR16" s="112"/>
      <c r="AS16" s="112"/>
    </row>
    <row r="17" spans="1:45">
      <c r="A17" s="37" t="str">
        <f>"BASELINE (No "&amp;'BCA Summary'!$E$1&amp;" Grant) annual short tons of NOx"</f>
        <v>BASELINE (No BUILD Grant Grant) annual short tons of NOx</v>
      </c>
      <c r="B17" s="37"/>
      <c r="C17" s="37"/>
      <c r="D17" s="38"/>
      <c r="E17" s="78">
        <f t="shared" ref="E17:AS17" si="0">((E$9)*E$51)/$E$64</f>
        <v>2.5439982292658661E-2</v>
      </c>
      <c r="F17" s="78">
        <f t="shared" si="0"/>
        <v>2.7244576140356833E-2</v>
      </c>
      <c r="G17" s="78">
        <f t="shared" si="0"/>
        <v>2.8637170557022171E-2</v>
      </c>
      <c r="H17" s="78">
        <f t="shared" si="0"/>
        <v>2.9618646922149126E-2</v>
      </c>
      <c r="I17" s="78">
        <f t="shared" si="0"/>
        <v>3.0189886615232173E-2</v>
      </c>
      <c r="J17" s="78">
        <f t="shared" si="0"/>
        <v>3.0351771015765812E-2</v>
      </c>
      <c r="K17" s="78">
        <f t="shared" si="0"/>
        <v>3.0105181503244465E-2</v>
      </c>
      <c r="L17" s="78">
        <f t="shared" si="0"/>
        <v>2.9450999457162671E-2</v>
      </c>
      <c r="M17" s="78">
        <f t="shared" si="0"/>
        <v>2.8390106257014845E-2</v>
      </c>
      <c r="N17" s="78">
        <f t="shared" si="0"/>
        <v>2.6923383282295491E-2</v>
      </c>
      <c r="O17" s="78">
        <f t="shared" si="0"/>
        <v>2.5051711912499074E-2</v>
      </c>
      <c r="P17" s="78">
        <f t="shared" si="0"/>
        <v>2.2775973527120075E-2</v>
      </c>
      <c r="Q17" s="78">
        <f t="shared" si="0"/>
        <v>2.0097049505652949E-2</v>
      </c>
      <c r="R17" s="78">
        <f t="shared" si="0"/>
        <v>1.7015821227592185E-2</v>
      </c>
      <c r="S17" s="78">
        <f t="shared" si="0"/>
        <v>1.3533170072432252E-2</v>
      </c>
      <c r="T17" s="78">
        <f t="shared" si="0"/>
        <v>9.6499774196676345E-3</v>
      </c>
      <c r="U17" s="78">
        <f t="shared" si="0"/>
        <v>9.2529349622526482E-3</v>
      </c>
      <c r="V17" s="78">
        <f t="shared" si="0"/>
        <v>8.7856322532582059E-3</v>
      </c>
      <c r="W17" s="78">
        <f t="shared" si="0"/>
        <v>8.2482234352864864E-3</v>
      </c>
      <c r="X17" s="78">
        <f t="shared" si="0"/>
        <v>7.6408626509396546E-3</v>
      </c>
      <c r="Y17" s="78">
        <f t="shared" si="0"/>
        <v>6.9637040428198885E-3</v>
      </c>
      <c r="Z17" s="78">
        <f t="shared" si="0"/>
        <v>6.2169017535293573E-3</v>
      </c>
      <c r="AA17" s="78">
        <f t="shared" si="0"/>
        <v>5.4006099256702356E-3</v>
      </c>
      <c r="AB17" s="78">
        <f t="shared" si="0"/>
        <v>4.5149827018446916E-3</v>
      </c>
      <c r="AC17" s="78">
        <f t="shared" si="0"/>
        <v>3.5601742246549003E-3</v>
      </c>
      <c r="AD17" s="78">
        <f t="shared" si="0"/>
        <v>2.5363386367030357E-3</v>
      </c>
      <c r="AE17" s="78">
        <f t="shared" si="0"/>
        <v>2.5145722768755924E-3</v>
      </c>
      <c r="AF17" s="78">
        <f t="shared" si="0"/>
        <v>2.4869112842481095E-3</v>
      </c>
      <c r="AG17" s="78">
        <f t="shared" si="0"/>
        <v>2.4533686451936659E-3</v>
      </c>
      <c r="AH17" s="78">
        <f t="shared" si="0"/>
        <v>2.413957346085337E-3</v>
      </c>
      <c r="AI17" s="78">
        <f t="shared" si="0"/>
        <v>2.3686903732961992E-3</v>
      </c>
      <c r="AJ17" s="78">
        <f t="shared" si="0"/>
        <v>2.3175807131993304E-3</v>
      </c>
      <c r="AK17" s="78">
        <f t="shared" si="0"/>
        <v>2.2606413521678069E-3</v>
      </c>
      <c r="AL17" s="78">
        <f t="shared" si="0"/>
        <v>2.1978852765747042E-3</v>
      </c>
      <c r="AM17" s="78">
        <f t="shared" si="0"/>
        <v>2.1293254727931029E-3</v>
      </c>
      <c r="AN17" s="78">
        <f t="shared" si="0"/>
        <v>2.0549749271960753E-3</v>
      </c>
      <c r="AO17" s="78">
        <f t="shared" si="0"/>
        <v>1.9748466261567004E-3</v>
      </c>
      <c r="AP17" s="78">
        <f t="shared" si="0"/>
        <v>1.8889535560480551E-3</v>
      </c>
      <c r="AQ17" s="78">
        <f t="shared" si="0"/>
        <v>1.7973087032432159E-3</v>
      </c>
      <c r="AR17" s="78">
        <f t="shared" si="0"/>
        <v>1.6999250541152595E-3</v>
      </c>
      <c r="AS17" s="78">
        <f t="shared" si="0"/>
        <v>1.5968155950372631E-3</v>
      </c>
    </row>
    <row r="18" spans="1:45">
      <c r="A18" s="26" t="str">
        <f>"PREFERRED (With "&amp;'BCA Summary'!$E$1&amp;" Grant) annual short tons of Nox"</f>
        <v>PREFERRED (With BUILD Grant Grant) annual short tons of Nox</v>
      </c>
      <c r="B18" s="26"/>
      <c r="C18" s="26"/>
      <c r="E18" s="80">
        <f t="shared" ref="E18:AS18" si="1">((E$10)*E$51)/$E$64</f>
        <v>2.5439982292658661E-2</v>
      </c>
      <c r="F18" s="80">
        <f t="shared" si="1"/>
        <v>2.7244576140356833E-2</v>
      </c>
      <c r="G18" s="80">
        <f t="shared" si="1"/>
        <v>2.8637170557022171E-2</v>
      </c>
      <c r="H18" s="80">
        <f t="shared" si="1"/>
        <v>2.9618646922149126E-2</v>
      </c>
      <c r="I18" s="80">
        <f t="shared" si="1"/>
        <v>3.0189886615232173E-2</v>
      </c>
      <c r="J18" s="80">
        <f t="shared" si="1"/>
        <v>3.0351771015765812E-2</v>
      </c>
      <c r="K18" s="80">
        <f t="shared" si="1"/>
        <v>3.0105181503244465E-2</v>
      </c>
      <c r="L18" s="80">
        <f t="shared" si="1"/>
        <v>2.9450999457162671E-2</v>
      </c>
      <c r="M18" s="80">
        <f t="shared" si="1"/>
        <v>2.8390106257014845E-2</v>
      </c>
      <c r="N18" s="80">
        <f t="shared" si="1"/>
        <v>2.6923383282295491E-2</v>
      </c>
      <c r="O18" s="80">
        <f t="shared" si="1"/>
        <v>2.5051711912499074E-2</v>
      </c>
      <c r="P18" s="80">
        <f t="shared" si="1"/>
        <v>2.2775973527120075E-2</v>
      </c>
      <c r="Q18" s="80">
        <f t="shared" si="1"/>
        <v>2.0097049505652949E-2</v>
      </c>
      <c r="R18" s="80">
        <f t="shared" si="1"/>
        <v>1.7015821227592185E-2</v>
      </c>
      <c r="S18" s="80">
        <f t="shared" si="1"/>
        <v>1.3533170072432252E-2</v>
      </c>
      <c r="T18" s="80">
        <f t="shared" si="1"/>
        <v>1.4734159726011386E-3</v>
      </c>
      <c r="U18" s="80">
        <f t="shared" si="1"/>
        <v>1.3887682484247561E-3</v>
      </c>
      <c r="V18" s="80">
        <f t="shared" si="1"/>
        <v>1.2980069099999918E-3</v>
      </c>
      <c r="W18" s="80">
        <f t="shared" si="1"/>
        <v>1.2010566722860713E-3</v>
      </c>
      <c r="X18" s="80">
        <f t="shared" si="1"/>
        <v>1.0978422502422181E-3</v>
      </c>
      <c r="Y18" s="80">
        <f t="shared" si="1"/>
        <v>9.8828835882765784E-4</v>
      </c>
      <c r="Z18" s="80">
        <f t="shared" si="1"/>
        <v>8.7231971300161433E-4</v>
      </c>
      <c r="AA18" s="80">
        <f t="shared" si="1"/>
        <v>7.4986102772331246E-4</v>
      </c>
      <c r="AB18" s="80">
        <f t="shared" si="1"/>
        <v>6.2083701795197655E-4</v>
      </c>
      <c r="AC18" s="80">
        <f t="shared" si="1"/>
        <v>4.8517239864683155E-4</v>
      </c>
      <c r="AD18" s="80">
        <f t="shared" si="1"/>
        <v>3.427918847671016E-4</v>
      </c>
      <c r="AE18" s="80">
        <f t="shared" si="1"/>
        <v>3.3725534800199024E-4</v>
      </c>
      <c r="AF18" s="80">
        <f t="shared" si="1"/>
        <v>3.3119166687692341E-4</v>
      </c>
      <c r="AG18" s="80">
        <f t="shared" si="1"/>
        <v>3.2459449869615798E-4</v>
      </c>
      <c r="AH18" s="80">
        <f t="shared" si="1"/>
        <v>3.1745750076395129E-4</v>
      </c>
      <c r="AI18" s="80">
        <f t="shared" si="1"/>
        <v>3.0977433038456001E-4</v>
      </c>
      <c r="AJ18" s="80">
        <f t="shared" si="1"/>
        <v>3.0153864486224125E-4</v>
      </c>
      <c r="AK18" s="80">
        <f t="shared" si="1"/>
        <v>2.9274410150125207E-4</v>
      </c>
      <c r="AL18" s="80">
        <f t="shared" si="1"/>
        <v>2.8338435760584942E-4</v>
      </c>
      <c r="AM18" s="80">
        <f t="shared" si="1"/>
        <v>2.7345307048029044E-4</v>
      </c>
      <c r="AN18" s="80">
        <f t="shared" si="1"/>
        <v>2.6294389742883206E-4</v>
      </c>
      <c r="AO18" s="80">
        <f t="shared" si="1"/>
        <v>2.5185049575573119E-4</v>
      </c>
      <c r="AP18" s="80">
        <f t="shared" si="1"/>
        <v>2.4016652276524512E-4</v>
      </c>
      <c r="AQ18" s="80">
        <f t="shared" si="1"/>
        <v>2.2788563576163048E-4</v>
      </c>
      <c r="AR18" s="80">
        <f t="shared" si="1"/>
        <v>2.1500149204914466E-4</v>
      </c>
      <c r="AS18" s="80">
        <f t="shared" si="1"/>
        <v>2.0150774893204449E-4</v>
      </c>
    </row>
    <row r="19" spans="1:45">
      <c r="A19" s="39" t="s">
        <v>94</v>
      </c>
      <c r="B19" s="39"/>
      <c r="C19" s="39"/>
      <c r="D19" s="40"/>
      <c r="E19" s="113">
        <f>E17-E18</f>
        <v>0</v>
      </c>
      <c r="F19" s="113">
        <f t="shared" ref="F19:AF19" si="2">F17-F18</f>
        <v>0</v>
      </c>
      <c r="G19" s="113">
        <f t="shared" si="2"/>
        <v>0</v>
      </c>
      <c r="H19" s="113">
        <f t="shared" si="2"/>
        <v>0</v>
      </c>
      <c r="I19" s="113">
        <f t="shared" si="2"/>
        <v>0</v>
      </c>
      <c r="J19" s="113">
        <f t="shared" si="2"/>
        <v>0</v>
      </c>
      <c r="K19" s="113">
        <f t="shared" si="2"/>
        <v>0</v>
      </c>
      <c r="L19" s="113">
        <f t="shared" si="2"/>
        <v>0</v>
      </c>
      <c r="M19" s="113">
        <f t="shared" si="2"/>
        <v>0</v>
      </c>
      <c r="N19" s="113">
        <f t="shared" si="2"/>
        <v>0</v>
      </c>
      <c r="O19" s="113">
        <f t="shared" si="2"/>
        <v>0</v>
      </c>
      <c r="P19" s="113">
        <f t="shared" si="2"/>
        <v>0</v>
      </c>
      <c r="Q19" s="113">
        <f t="shared" si="2"/>
        <v>0</v>
      </c>
      <c r="R19" s="113">
        <f t="shared" si="2"/>
        <v>0</v>
      </c>
      <c r="S19" s="113">
        <f t="shared" si="2"/>
        <v>0</v>
      </c>
      <c r="T19" s="113">
        <f t="shared" si="2"/>
        <v>8.1765614470664955E-3</v>
      </c>
      <c r="U19" s="113">
        <f t="shared" si="2"/>
        <v>7.8641667138278915E-3</v>
      </c>
      <c r="V19" s="113">
        <f t="shared" si="2"/>
        <v>7.4876253432582139E-3</v>
      </c>
      <c r="W19" s="113">
        <f t="shared" si="2"/>
        <v>7.0471667630004151E-3</v>
      </c>
      <c r="X19" s="113">
        <f t="shared" si="2"/>
        <v>6.5430204006974363E-3</v>
      </c>
      <c r="Y19" s="113">
        <f t="shared" si="2"/>
        <v>5.9754156839922305E-3</v>
      </c>
      <c r="Z19" s="113">
        <f t="shared" si="2"/>
        <v>5.3445820405277431E-3</v>
      </c>
      <c r="AA19" s="113">
        <f t="shared" si="2"/>
        <v>4.6507488979469231E-3</v>
      </c>
      <c r="AB19" s="113">
        <f t="shared" si="2"/>
        <v>3.8941456838927149E-3</v>
      </c>
      <c r="AC19" s="113">
        <f t="shared" si="2"/>
        <v>3.0750018260080688E-3</v>
      </c>
      <c r="AD19" s="113">
        <f t="shared" si="2"/>
        <v>2.1935467519359343E-3</v>
      </c>
      <c r="AE19" s="113">
        <f t="shared" si="2"/>
        <v>2.1773169288736021E-3</v>
      </c>
      <c r="AF19" s="113">
        <f t="shared" si="2"/>
        <v>2.1557196173711862E-3</v>
      </c>
      <c r="AG19" s="113">
        <f t="shared" ref="AG19:AH19" si="3">AG17-AG18</f>
        <v>2.1287741464975081E-3</v>
      </c>
      <c r="AH19" s="113">
        <f t="shared" si="3"/>
        <v>2.0964998453213857E-3</v>
      </c>
      <c r="AI19" s="113">
        <f t="shared" ref="AI19:AR19" si="4">AI17-AI18</f>
        <v>2.0589160429116391E-3</v>
      </c>
      <c r="AJ19" s="113">
        <f t="shared" si="4"/>
        <v>2.016042068337089E-3</v>
      </c>
      <c r="AK19" s="113">
        <f t="shared" si="4"/>
        <v>1.9678972506665549E-3</v>
      </c>
      <c r="AL19" s="113">
        <f t="shared" si="4"/>
        <v>1.9145009189688548E-3</v>
      </c>
      <c r="AM19" s="113">
        <f t="shared" si="4"/>
        <v>1.8558724023128126E-3</v>
      </c>
      <c r="AN19" s="113">
        <f t="shared" si="4"/>
        <v>1.7920310297672433E-3</v>
      </c>
      <c r="AO19" s="113">
        <f t="shared" si="4"/>
        <v>1.7229961304009692E-3</v>
      </c>
      <c r="AP19" s="113">
        <f t="shared" si="4"/>
        <v>1.64878703328281E-3</v>
      </c>
      <c r="AQ19" s="113">
        <f t="shared" si="4"/>
        <v>1.5694230674815853E-3</v>
      </c>
      <c r="AR19" s="113">
        <f t="shared" si="4"/>
        <v>1.4849235620661148E-3</v>
      </c>
      <c r="AS19" s="113">
        <f t="shared" ref="AS19" si="5">AS17-AS18</f>
        <v>1.3953078461052186E-3</v>
      </c>
    </row>
    <row r="20" spans="1:45">
      <c r="A20" s="23"/>
      <c r="B20" s="23"/>
      <c r="C20" s="23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</row>
    <row r="21" spans="1:45" s="31" customFormat="1" ht="15">
      <c r="A21" s="31" t="s">
        <v>253</v>
      </c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</row>
    <row r="22" spans="1:45">
      <c r="A22" s="37" t="str">
        <f>"BASELINE (No "&amp;'BCA Summary'!$E$1&amp;" Grant) annual short tons of SO2"</f>
        <v>BASELINE (No BUILD Grant Grant) annual short tons of SO2</v>
      </c>
      <c r="B22" s="37"/>
      <c r="C22" s="37"/>
      <c r="D22" s="38"/>
      <c r="E22" s="233">
        <f t="shared" ref="E22:AS22" si="6">((E$9)*E$52)/$E$64</f>
        <v>6.6559475256442022E-4</v>
      </c>
      <c r="F22" s="233">
        <f t="shared" si="6"/>
        <v>7.4183453331288357E-4</v>
      </c>
      <c r="G22" s="233">
        <f t="shared" si="6"/>
        <v>8.1429266763927133E-4</v>
      </c>
      <c r="H22" s="233">
        <f t="shared" si="6"/>
        <v>8.829770602924123E-4</v>
      </c>
      <c r="I22" s="233">
        <f t="shared" si="6"/>
        <v>9.4789561602113583E-4</v>
      </c>
      <c r="J22" s="233">
        <f t="shared" si="6"/>
        <v>1.0090562395742722E-3</v>
      </c>
      <c r="K22" s="233">
        <f t="shared" si="6"/>
        <v>1.0664668357006494E-3</v>
      </c>
      <c r="L22" s="233">
        <f t="shared" si="6"/>
        <v>1.1201353091490982E-3</v>
      </c>
      <c r="M22" s="233">
        <f t="shared" si="6"/>
        <v>1.1700695646684469E-3</v>
      </c>
      <c r="N22" s="233">
        <f t="shared" si="6"/>
        <v>1.2162775070075251E-3</v>
      </c>
      <c r="O22" s="233">
        <f t="shared" si="6"/>
        <v>1.2587670409151621E-3</v>
      </c>
      <c r="P22" s="233">
        <f t="shared" si="6"/>
        <v>1.297546071140188E-3</v>
      </c>
      <c r="Q22" s="233">
        <f t="shared" si="6"/>
        <v>1.3326225024314312E-3</v>
      </c>
      <c r="R22" s="233">
        <f t="shared" si="6"/>
        <v>1.3640042395377209E-3</v>
      </c>
      <c r="S22" s="233">
        <f t="shared" si="6"/>
        <v>1.3916991872078882E-3</v>
      </c>
      <c r="T22" s="233">
        <f t="shared" si="6"/>
        <v>1.4157152501907608E-3</v>
      </c>
      <c r="U22" s="233">
        <f t="shared" si="6"/>
        <v>1.4662296679669991E-3</v>
      </c>
      <c r="V22" s="233">
        <f t="shared" si="6"/>
        <v>1.5156316199250017E-3</v>
      </c>
      <c r="W22" s="233">
        <f t="shared" si="6"/>
        <v>1.5639233645644349E-3</v>
      </c>
      <c r="X22" s="233">
        <f t="shared" si="6"/>
        <v>1.6111071603849625E-3</v>
      </c>
      <c r="Y22" s="233">
        <f t="shared" si="6"/>
        <v>1.6571852658862516E-3</v>
      </c>
      <c r="Z22" s="233">
        <f t="shared" si="6"/>
        <v>1.7021599395679674E-3</v>
      </c>
      <c r="AA22" s="233">
        <f t="shared" si="6"/>
        <v>1.746033439929775E-3</v>
      </c>
      <c r="AB22" s="233">
        <f t="shared" si="6"/>
        <v>1.7888080254713397E-3</v>
      </c>
      <c r="AC22" s="233">
        <f t="shared" si="6"/>
        <v>1.8304859546923265E-3</v>
      </c>
      <c r="AD22" s="233">
        <f t="shared" si="6"/>
        <v>1.871069486092403E-3</v>
      </c>
      <c r="AE22" s="233">
        <f t="shared" si="6"/>
        <v>1.9234121845266457E-3</v>
      </c>
      <c r="AF22" s="233">
        <f t="shared" si="6"/>
        <v>1.9754188924523989E-3</v>
      </c>
      <c r="AG22" s="233">
        <f t="shared" si="6"/>
        <v>2.0270901744945816E-3</v>
      </c>
      <c r="AH22" s="233">
        <f t="shared" si="6"/>
        <v>2.078426595278108E-3</v>
      </c>
      <c r="AI22" s="233">
        <f t="shared" si="6"/>
        <v>2.1294287194278962E-3</v>
      </c>
      <c r="AJ22" s="233">
        <f t="shared" si="6"/>
        <v>2.180097111568862E-3</v>
      </c>
      <c r="AK22" s="233">
        <f t="shared" si="6"/>
        <v>2.2304323363259203E-3</v>
      </c>
      <c r="AL22" s="233">
        <f t="shared" si="6"/>
        <v>2.2804349583239892E-3</v>
      </c>
      <c r="AM22" s="233">
        <f t="shared" si="6"/>
        <v>2.3301055421879853E-3</v>
      </c>
      <c r="AN22" s="233">
        <f t="shared" si="6"/>
        <v>2.3794446525428241E-3</v>
      </c>
      <c r="AO22" s="233">
        <f t="shared" si="6"/>
        <v>2.4284528540134218E-3</v>
      </c>
      <c r="AP22" s="233">
        <f t="shared" si="6"/>
        <v>2.4771307112246952E-3</v>
      </c>
      <c r="AQ22" s="233">
        <f t="shared" si="6"/>
        <v>2.5254787888015612E-3</v>
      </c>
      <c r="AR22" s="233">
        <f t="shared" si="6"/>
        <v>2.5734976513689342E-3</v>
      </c>
      <c r="AS22" s="233">
        <f t="shared" si="6"/>
        <v>2.6211878635517341E-3</v>
      </c>
    </row>
    <row r="23" spans="1:45">
      <c r="A23" s="26" t="str">
        <f>"PREFERRED (With "&amp;'BCA Summary'!$E$1&amp;" Grant) annual short tons of SO2"</f>
        <v>PREFERRED (With BUILD Grant Grant) annual short tons of SO2</v>
      </c>
      <c r="B23" s="26"/>
      <c r="C23" s="26"/>
      <c r="E23" s="234">
        <f t="shared" ref="E23:AS23" si="7">((E$10)*E$52)/$E$64</f>
        <v>6.6559475256442022E-4</v>
      </c>
      <c r="F23" s="234">
        <f t="shared" si="7"/>
        <v>7.4183453331288357E-4</v>
      </c>
      <c r="G23" s="234">
        <f t="shared" si="7"/>
        <v>8.1429266763927133E-4</v>
      </c>
      <c r="H23" s="234">
        <f t="shared" si="7"/>
        <v>8.829770602924123E-4</v>
      </c>
      <c r="I23" s="234">
        <f t="shared" si="7"/>
        <v>9.4789561602113583E-4</v>
      </c>
      <c r="J23" s="234">
        <f t="shared" si="7"/>
        <v>1.0090562395742722E-3</v>
      </c>
      <c r="K23" s="234">
        <f t="shared" si="7"/>
        <v>1.0664668357006494E-3</v>
      </c>
      <c r="L23" s="234">
        <f t="shared" si="7"/>
        <v>1.1201353091490982E-3</v>
      </c>
      <c r="M23" s="234">
        <f t="shared" si="7"/>
        <v>1.1700695646684469E-3</v>
      </c>
      <c r="N23" s="234">
        <f t="shared" si="7"/>
        <v>1.2162775070075251E-3</v>
      </c>
      <c r="O23" s="234">
        <f t="shared" si="7"/>
        <v>1.2587670409151621E-3</v>
      </c>
      <c r="P23" s="234">
        <f t="shared" si="7"/>
        <v>1.297546071140188E-3</v>
      </c>
      <c r="Q23" s="234">
        <f t="shared" si="7"/>
        <v>1.3326225024314312E-3</v>
      </c>
      <c r="R23" s="234">
        <f t="shared" si="7"/>
        <v>1.3640042395377209E-3</v>
      </c>
      <c r="S23" s="234">
        <f t="shared" si="7"/>
        <v>1.3916991872078882E-3</v>
      </c>
      <c r="T23" s="234">
        <f t="shared" si="7"/>
        <v>2.1615982831573591E-4</v>
      </c>
      <c r="U23" s="234">
        <f t="shared" si="7"/>
        <v>2.2006565658116447E-4</v>
      </c>
      <c r="V23" s="234">
        <f t="shared" si="7"/>
        <v>2.2392245190407873E-4</v>
      </c>
      <c r="W23" s="234">
        <f t="shared" si="7"/>
        <v>2.277291112069583E-4</v>
      </c>
      <c r="X23" s="234">
        <f t="shared" si="7"/>
        <v>2.3148453141228268E-4</v>
      </c>
      <c r="Y23" s="234">
        <f t="shared" si="7"/>
        <v>2.3518760944253117E-4</v>
      </c>
      <c r="Z23" s="234">
        <f t="shared" si="7"/>
        <v>2.3883724222018346E-4</v>
      </c>
      <c r="AA23" s="234">
        <f t="shared" si="7"/>
        <v>2.4243232666771892E-4</v>
      </c>
      <c r="AB23" s="234">
        <f t="shared" si="7"/>
        <v>2.4597175970761701E-4</v>
      </c>
      <c r="AC23" s="234">
        <f t="shared" si="7"/>
        <v>2.4945443826235726E-4</v>
      </c>
      <c r="AD23" s="234">
        <f t="shared" si="7"/>
        <v>2.5287925925441916E-4</v>
      </c>
      <c r="AE23" s="234">
        <f t="shared" si="7"/>
        <v>2.5796874148704198E-4</v>
      </c>
      <c r="AF23" s="234">
        <f t="shared" si="7"/>
        <v>2.6307423184549942E-4</v>
      </c>
      <c r="AG23" s="234">
        <f t="shared" si="7"/>
        <v>2.6819545456041149E-4</v>
      </c>
      <c r="AH23" s="234">
        <f t="shared" si="7"/>
        <v>2.7333213386239815E-4</v>
      </c>
      <c r="AI23" s="234">
        <f t="shared" si="7"/>
        <v>2.7848399398207915E-4</v>
      </c>
      <c r="AJ23" s="234">
        <f t="shared" si="7"/>
        <v>2.8365075915007438E-4</v>
      </c>
      <c r="AK23" s="234">
        <f t="shared" si="7"/>
        <v>2.8883215359700365E-4</v>
      </c>
      <c r="AL23" s="234">
        <f t="shared" si="7"/>
        <v>2.9402790155348701E-4</v>
      </c>
      <c r="AM23" s="234">
        <f t="shared" si="7"/>
        <v>2.9923772725014411E-4</v>
      </c>
      <c r="AN23" s="234">
        <f t="shared" si="7"/>
        <v>3.04461354917595E-4</v>
      </c>
      <c r="AO23" s="234">
        <f t="shared" si="7"/>
        <v>3.0969850878645943E-4</v>
      </c>
      <c r="AP23" s="234">
        <f t="shared" si="7"/>
        <v>3.1494891308735736E-4</v>
      </c>
      <c r="AQ23" s="234">
        <f t="shared" si="7"/>
        <v>3.2021229205090853E-4</v>
      </c>
      <c r="AR23" s="234">
        <f t="shared" si="7"/>
        <v>3.2548836990773289E-4</v>
      </c>
      <c r="AS23" s="234">
        <f t="shared" si="7"/>
        <v>3.3077687088845046E-4</v>
      </c>
    </row>
    <row r="24" spans="1:45">
      <c r="A24" s="39" t="s">
        <v>95</v>
      </c>
      <c r="B24" s="39"/>
      <c r="C24" s="39"/>
      <c r="D24" s="40"/>
      <c r="E24" s="235">
        <f>E22-E23</f>
        <v>0</v>
      </c>
      <c r="F24" s="235">
        <f t="shared" ref="F24:AF24" si="8">F22-F23</f>
        <v>0</v>
      </c>
      <c r="G24" s="235">
        <f t="shared" si="8"/>
        <v>0</v>
      </c>
      <c r="H24" s="235">
        <f t="shared" si="8"/>
        <v>0</v>
      </c>
      <c r="I24" s="235">
        <f t="shared" si="8"/>
        <v>0</v>
      </c>
      <c r="J24" s="235">
        <f t="shared" si="8"/>
        <v>0</v>
      </c>
      <c r="K24" s="235">
        <f t="shared" si="8"/>
        <v>0</v>
      </c>
      <c r="L24" s="235">
        <f t="shared" si="8"/>
        <v>0</v>
      </c>
      <c r="M24" s="235">
        <f t="shared" si="8"/>
        <v>0</v>
      </c>
      <c r="N24" s="235">
        <f t="shared" si="8"/>
        <v>0</v>
      </c>
      <c r="O24" s="235">
        <f t="shared" si="8"/>
        <v>0</v>
      </c>
      <c r="P24" s="235">
        <f t="shared" si="8"/>
        <v>0</v>
      </c>
      <c r="Q24" s="235">
        <f t="shared" si="8"/>
        <v>0</v>
      </c>
      <c r="R24" s="235">
        <f t="shared" si="8"/>
        <v>0</v>
      </c>
      <c r="S24" s="235">
        <f t="shared" si="8"/>
        <v>0</v>
      </c>
      <c r="T24" s="235">
        <f t="shared" si="8"/>
        <v>1.1995554218750249E-3</v>
      </c>
      <c r="U24" s="235">
        <f t="shared" si="8"/>
        <v>1.2461640113858347E-3</v>
      </c>
      <c r="V24" s="235">
        <f t="shared" si="8"/>
        <v>1.291709168020923E-3</v>
      </c>
      <c r="W24" s="235">
        <f t="shared" si="8"/>
        <v>1.3361942533574767E-3</v>
      </c>
      <c r="X24" s="235">
        <f t="shared" si="8"/>
        <v>1.37962262897268E-3</v>
      </c>
      <c r="Y24" s="235">
        <f t="shared" si="8"/>
        <v>1.4219976564437205E-3</v>
      </c>
      <c r="Z24" s="235">
        <f t="shared" si="8"/>
        <v>1.4633226973477841E-3</v>
      </c>
      <c r="AA24" s="235">
        <f t="shared" si="8"/>
        <v>1.5036011132620562E-3</v>
      </c>
      <c r="AB24" s="235">
        <f t="shared" si="8"/>
        <v>1.5428362657637228E-3</v>
      </c>
      <c r="AC24" s="235">
        <f t="shared" si="8"/>
        <v>1.5810315164299692E-3</v>
      </c>
      <c r="AD24" s="235">
        <f t="shared" si="8"/>
        <v>1.618190226837984E-3</v>
      </c>
      <c r="AE24" s="235">
        <f t="shared" si="8"/>
        <v>1.6654434430396037E-3</v>
      </c>
      <c r="AF24" s="235">
        <f t="shared" si="8"/>
        <v>1.7123446606068995E-3</v>
      </c>
      <c r="AG24" s="235">
        <f t="shared" ref="AG24:AH24" si="9">AG22-AG23</f>
        <v>1.75889471993417E-3</v>
      </c>
      <c r="AH24" s="235">
        <f t="shared" si="9"/>
        <v>1.8050944614157098E-3</v>
      </c>
      <c r="AI24" s="235">
        <f t="shared" ref="AI24:AR24" si="10">AI22-AI23</f>
        <v>1.8509447254458171E-3</v>
      </c>
      <c r="AJ24" s="235">
        <f t="shared" si="10"/>
        <v>1.8964463524187877E-3</v>
      </c>
      <c r="AK24" s="235">
        <f t="shared" si="10"/>
        <v>1.9416001827289166E-3</v>
      </c>
      <c r="AL24" s="235">
        <f t="shared" si="10"/>
        <v>1.9864070567705023E-3</v>
      </c>
      <c r="AM24" s="235">
        <f t="shared" si="10"/>
        <v>2.0308678149378412E-3</v>
      </c>
      <c r="AN24" s="235">
        <f t="shared" si="10"/>
        <v>2.074983297625229E-3</v>
      </c>
      <c r="AO24" s="235">
        <f t="shared" si="10"/>
        <v>2.1187543452269625E-3</v>
      </c>
      <c r="AP24" s="235">
        <f t="shared" si="10"/>
        <v>2.1621817981373379E-3</v>
      </c>
      <c r="AQ24" s="235">
        <f t="shared" si="10"/>
        <v>2.2052664967506528E-3</v>
      </c>
      <c r="AR24" s="235">
        <f t="shared" si="10"/>
        <v>2.2480092814612012E-3</v>
      </c>
      <c r="AS24" s="235">
        <f t="shared" ref="AS24" si="11">AS22-AS23</f>
        <v>2.2904109926632837E-3</v>
      </c>
    </row>
    <row r="25" spans="1:45">
      <c r="A25" s="23"/>
      <c r="B25" s="23"/>
      <c r="C25" s="23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</row>
    <row r="26" spans="1:45" s="31" customFormat="1" ht="15">
      <c r="A26" s="31" t="s">
        <v>254</v>
      </c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</row>
    <row r="27" spans="1:45">
      <c r="A27" s="37" t="str">
        <f>"BASELINE (No "&amp;'BCA Summary'!$E$1&amp;" Grant) annual short tons of PM 2.5"</f>
        <v>BASELINE (No BUILD Grant Grant) annual short tons of PM 2.5</v>
      </c>
      <c r="B27" s="37"/>
      <c r="C27" s="37"/>
      <c r="D27" s="38"/>
      <c r="E27" s="233">
        <f t="shared" ref="E27:AS27" si="12">((E$9)*E$53)/$E$64</f>
        <v>5.5624704321455124E-4</v>
      </c>
      <c r="F27" s="233">
        <f t="shared" si="12"/>
        <v>6.163931253474397E-4</v>
      </c>
      <c r="G27" s="233">
        <f t="shared" si="12"/>
        <v>6.7251849782707675E-4</v>
      </c>
      <c r="H27" s="233">
        <f t="shared" si="12"/>
        <v>7.246316300272077E-4</v>
      </c>
      <c r="I27" s="233">
        <f t="shared" si="12"/>
        <v>7.7274099132157816E-4</v>
      </c>
      <c r="J27" s="233">
        <f t="shared" si="12"/>
        <v>8.1685505108393473E-4</v>
      </c>
      <c r="K27" s="233">
        <f t="shared" si="12"/>
        <v>8.5698227868802183E-4</v>
      </c>
      <c r="L27" s="233">
        <f t="shared" si="12"/>
        <v>8.931311435075867E-4</v>
      </c>
      <c r="M27" s="233">
        <f t="shared" si="12"/>
        <v>9.2531011491637388E-4</v>
      </c>
      <c r="N27" s="233">
        <f t="shared" si="12"/>
        <v>9.5352766228812942E-4</v>
      </c>
      <c r="O27" s="233">
        <f t="shared" si="12"/>
        <v>9.7779225499659925E-4</v>
      </c>
      <c r="P27" s="233">
        <f t="shared" si="12"/>
        <v>9.9811236241552945E-4</v>
      </c>
      <c r="Q27" s="233">
        <f t="shared" si="12"/>
        <v>1.0144964539186645E-3</v>
      </c>
      <c r="R27" s="233">
        <f t="shared" si="12"/>
        <v>1.0269529988797513E-3</v>
      </c>
      <c r="S27" s="233">
        <f t="shared" si="12"/>
        <v>1.0354904666725357E-3</v>
      </c>
      <c r="T27" s="233">
        <f t="shared" si="12"/>
        <v>1.040117326670763E-3</v>
      </c>
      <c r="U27" s="233">
        <f t="shared" si="12"/>
        <v>1.0649775160336433E-3</v>
      </c>
      <c r="V27" s="233">
        <f t="shared" si="12"/>
        <v>1.0879845238465781E-3</v>
      </c>
      <c r="W27" s="233">
        <f t="shared" si="12"/>
        <v>1.1091423024839821E-3</v>
      </c>
      <c r="X27" s="233">
        <f t="shared" si="12"/>
        <v>1.1284548043202693E-3</v>
      </c>
      <c r="Y27" s="233">
        <f t="shared" si="12"/>
        <v>1.1459259817298553E-3</v>
      </c>
      <c r="Z27" s="233">
        <f t="shared" si="12"/>
        <v>1.1615597870871539E-3</v>
      </c>
      <c r="AA27" s="233">
        <f t="shared" si="12"/>
        <v>1.17536017276658E-3</v>
      </c>
      <c r="AB27" s="233">
        <f t="shared" si="12"/>
        <v>1.1873310911425486E-3</v>
      </c>
      <c r="AC27" s="233">
        <f t="shared" si="12"/>
        <v>1.1974764945894738E-3</v>
      </c>
      <c r="AD27" s="233">
        <f t="shared" si="12"/>
        <v>1.2058003354817708E-3</v>
      </c>
      <c r="AE27" s="233">
        <f t="shared" si="12"/>
        <v>1.2422929476898156E-3</v>
      </c>
      <c r="AF27" s="233">
        <f t="shared" si="12"/>
        <v>1.2787309794892762E-3</v>
      </c>
      <c r="AG27" s="233">
        <f t="shared" si="12"/>
        <v>1.3151144308801536E-3</v>
      </c>
      <c r="AH27" s="233">
        <f t="shared" si="12"/>
        <v>1.3514433018624473E-3</v>
      </c>
      <c r="AI27" s="233">
        <f t="shared" si="12"/>
        <v>1.3877175924361571E-3</v>
      </c>
      <c r="AJ27" s="233">
        <f t="shared" si="12"/>
        <v>1.4239373026012836E-3</v>
      </c>
      <c r="AK27" s="233">
        <f t="shared" si="12"/>
        <v>1.460102432357826E-3</v>
      </c>
      <c r="AL27" s="233">
        <f t="shared" si="12"/>
        <v>1.4962129817057844E-3</v>
      </c>
      <c r="AM27" s="233">
        <f t="shared" si="12"/>
        <v>1.5322689506451605E-3</v>
      </c>
      <c r="AN27" s="233">
        <f t="shared" si="12"/>
        <v>1.5682703391759519E-3</v>
      </c>
      <c r="AO27" s="233">
        <f t="shared" si="12"/>
        <v>1.6042171472981598E-3</v>
      </c>
      <c r="AP27" s="233">
        <f t="shared" si="12"/>
        <v>1.6401093750117843E-3</v>
      </c>
      <c r="AQ27" s="233">
        <f t="shared" si="12"/>
        <v>1.6759470223168249E-3</v>
      </c>
      <c r="AR27" s="233">
        <f t="shared" si="12"/>
        <v>1.7117300892132818E-3</v>
      </c>
      <c r="AS27" s="233">
        <f t="shared" si="12"/>
        <v>1.7474585757011557E-3</v>
      </c>
    </row>
    <row r="28" spans="1:45">
      <c r="A28" s="26" t="str">
        <f>"PREFERRED (With "&amp;'BCA Summary'!$E$1&amp;" Grant) annual short tons of PM2.5"</f>
        <v>PREFERRED (With BUILD Grant Grant) annual short tons of PM2.5</v>
      </c>
      <c r="B28" s="26"/>
      <c r="C28" s="26"/>
      <c r="E28" s="234">
        <f t="shared" ref="E28:AS28" si="13">((E$10)*E$53)/$E$64</f>
        <v>5.5624704321455124E-4</v>
      </c>
      <c r="F28" s="234">
        <f t="shared" si="13"/>
        <v>6.163931253474397E-4</v>
      </c>
      <c r="G28" s="234">
        <f t="shared" si="13"/>
        <v>6.7251849782707675E-4</v>
      </c>
      <c r="H28" s="234">
        <f t="shared" si="13"/>
        <v>7.246316300272077E-4</v>
      </c>
      <c r="I28" s="234">
        <f t="shared" si="13"/>
        <v>7.7274099132157816E-4</v>
      </c>
      <c r="J28" s="234">
        <f t="shared" si="13"/>
        <v>8.1685505108393473E-4</v>
      </c>
      <c r="K28" s="234">
        <f t="shared" si="13"/>
        <v>8.5698227868802183E-4</v>
      </c>
      <c r="L28" s="234">
        <f t="shared" si="13"/>
        <v>8.931311435075867E-4</v>
      </c>
      <c r="M28" s="234">
        <f t="shared" si="13"/>
        <v>9.2531011491637388E-4</v>
      </c>
      <c r="N28" s="234">
        <f t="shared" si="13"/>
        <v>9.5352766228812942E-4</v>
      </c>
      <c r="O28" s="234">
        <f t="shared" si="13"/>
        <v>9.7779225499659925E-4</v>
      </c>
      <c r="P28" s="234">
        <f t="shared" si="13"/>
        <v>9.9811236241552945E-4</v>
      </c>
      <c r="Q28" s="234">
        <f t="shared" si="13"/>
        <v>1.0144964539186645E-3</v>
      </c>
      <c r="R28" s="234">
        <f t="shared" si="13"/>
        <v>1.0269529988797513E-3</v>
      </c>
      <c r="S28" s="234">
        <f t="shared" si="13"/>
        <v>1.0354904666725357E-3</v>
      </c>
      <c r="T28" s="234">
        <f t="shared" si="13"/>
        <v>1.5881130243605086E-4</v>
      </c>
      <c r="U28" s="234">
        <f t="shared" si="13"/>
        <v>1.5984192751677172E-4</v>
      </c>
      <c r="V28" s="234">
        <f t="shared" si="13"/>
        <v>1.6074101319255447E-4</v>
      </c>
      <c r="W28" s="234">
        <f t="shared" si="13"/>
        <v>1.6150662907773823E-4</v>
      </c>
      <c r="X28" s="234">
        <f t="shared" si="13"/>
        <v>1.6213684478666213E-4</v>
      </c>
      <c r="Y28" s="234">
        <f t="shared" si="13"/>
        <v>1.6262972993366518E-4</v>
      </c>
      <c r="Z28" s="234">
        <f t="shared" si="13"/>
        <v>1.6298335413308655E-4</v>
      </c>
      <c r="AA28" s="234">
        <f t="shared" si="13"/>
        <v>1.6319578699926533E-4</v>
      </c>
      <c r="AB28" s="234">
        <f t="shared" si="13"/>
        <v>1.6326509814654054E-4</v>
      </c>
      <c r="AC28" s="234">
        <f t="shared" si="13"/>
        <v>1.6318935718925137E-4</v>
      </c>
      <c r="AD28" s="234">
        <f t="shared" si="13"/>
        <v>1.6296663374173681E-4</v>
      </c>
      <c r="AE28" s="234">
        <f t="shared" si="13"/>
        <v>1.6661678180677542E-4</v>
      </c>
      <c r="AF28" s="234">
        <f t="shared" si="13"/>
        <v>1.7029358757855991E-4</v>
      </c>
      <c r="AG28" s="234">
        <f t="shared" si="13"/>
        <v>1.739970510570902E-4</v>
      </c>
      <c r="AH28" s="234">
        <f t="shared" si="13"/>
        <v>1.777271722423665E-4</v>
      </c>
      <c r="AI28" s="234">
        <f t="shared" si="13"/>
        <v>1.8148395113438864E-4</v>
      </c>
      <c r="AJ28" s="234">
        <f t="shared" si="13"/>
        <v>1.8526738773315664E-4</v>
      </c>
      <c r="AK28" s="234">
        <f t="shared" si="13"/>
        <v>1.8907748203867054E-4</v>
      </c>
      <c r="AL28" s="234">
        <f t="shared" si="13"/>
        <v>1.9291423405093033E-4</v>
      </c>
      <c r="AM28" s="234">
        <f t="shared" si="13"/>
        <v>1.9677764376993602E-4</v>
      </c>
      <c r="AN28" s="234">
        <f t="shared" si="13"/>
        <v>2.006677111956876E-4</v>
      </c>
      <c r="AO28" s="234">
        <f t="shared" si="13"/>
        <v>2.0458443632818501E-4</v>
      </c>
      <c r="AP28" s="234">
        <f t="shared" si="13"/>
        <v>2.0852781916742835E-4</v>
      </c>
      <c r="AQ28" s="234">
        <f t="shared" si="13"/>
        <v>2.1249785971341748E-4</v>
      </c>
      <c r="AR28" s="234">
        <f t="shared" si="13"/>
        <v>2.164945579661526E-4</v>
      </c>
      <c r="AS28" s="234">
        <f t="shared" si="13"/>
        <v>2.2051791392563357E-4</v>
      </c>
    </row>
    <row r="29" spans="1:45">
      <c r="A29" s="39" t="s">
        <v>101</v>
      </c>
      <c r="B29" s="39"/>
      <c r="C29" s="39"/>
      <c r="D29" s="40"/>
      <c r="E29" s="235">
        <f>E27-E28</f>
        <v>0</v>
      </c>
      <c r="F29" s="235">
        <f t="shared" ref="F29:AF29" si="14">F27-F28</f>
        <v>0</v>
      </c>
      <c r="G29" s="235">
        <f t="shared" si="14"/>
        <v>0</v>
      </c>
      <c r="H29" s="235">
        <f t="shared" si="14"/>
        <v>0</v>
      </c>
      <c r="I29" s="235">
        <f t="shared" si="14"/>
        <v>0</v>
      </c>
      <c r="J29" s="235">
        <f t="shared" si="14"/>
        <v>0</v>
      </c>
      <c r="K29" s="235">
        <f t="shared" si="14"/>
        <v>0</v>
      </c>
      <c r="L29" s="235">
        <f t="shared" si="14"/>
        <v>0</v>
      </c>
      <c r="M29" s="235">
        <f t="shared" si="14"/>
        <v>0</v>
      </c>
      <c r="N29" s="235">
        <f t="shared" si="14"/>
        <v>0</v>
      </c>
      <c r="O29" s="235">
        <f t="shared" si="14"/>
        <v>0</v>
      </c>
      <c r="P29" s="235">
        <f t="shared" si="14"/>
        <v>0</v>
      </c>
      <c r="Q29" s="235">
        <f t="shared" si="14"/>
        <v>0</v>
      </c>
      <c r="R29" s="235">
        <f t="shared" si="14"/>
        <v>0</v>
      </c>
      <c r="S29" s="235">
        <f t="shared" si="14"/>
        <v>0</v>
      </c>
      <c r="T29" s="235">
        <f t="shared" si="14"/>
        <v>8.8130602423471221E-4</v>
      </c>
      <c r="U29" s="235">
        <f t="shared" si="14"/>
        <v>9.0513558851687157E-4</v>
      </c>
      <c r="V29" s="235">
        <f t="shared" si="14"/>
        <v>9.2724351065402353E-4</v>
      </c>
      <c r="W29" s="235">
        <f t="shared" si="14"/>
        <v>9.4763567340624391E-4</v>
      </c>
      <c r="X29" s="235">
        <f t="shared" si="14"/>
        <v>9.6631795953360726E-4</v>
      </c>
      <c r="Y29" s="235">
        <f t="shared" si="14"/>
        <v>9.8329625179619006E-4</v>
      </c>
      <c r="Z29" s="235">
        <f t="shared" si="14"/>
        <v>9.9857643295406728E-4</v>
      </c>
      <c r="AA29" s="235">
        <f t="shared" si="14"/>
        <v>1.0121643857673147E-3</v>
      </c>
      <c r="AB29" s="235">
        <f t="shared" si="14"/>
        <v>1.0240659929960081E-3</v>
      </c>
      <c r="AC29" s="235">
        <f t="shared" si="14"/>
        <v>1.0342871374002223E-3</v>
      </c>
      <c r="AD29" s="235">
        <f t="shared" si="14"/>
        <v>1.0428337017400339E-3</v>
      </c>
      <c r="AE29" s="235">
        <f t="shared" si="14"/>
        <v>1.0756761658830402E-3</v>
      </c>
      <c r="AF29" s="235">
        <f t="shared" si="14"/>
        <v>1.1084373919107162E-3</v>
      </c>
      <c r="AG29" s="235">
        <f t="shared" ref="AG29:AH29" si="15">AG27-AG28</f>
        <v>1.1411173798230635E-3</v>
      </c>
      <c r="AH29" s="235">
        <f t="shared" si="15"/>
        <v>1.1737161296200807E-3</v>
      </c>
      <c r="AI29" s="235">
        <f t="shared" ref="AI29:AR29" si="16">AI27-AI28</f>
        <v>1.2062336413017685E-3</v>
      </c>
      <c r="AJ29" s="235">
        <f t="shared" si="16"/>
        <v>1.238669914868127E-3</v>
      </c>
      <c r="AK29" s="235">
        <f t="shared" si="16"/>
        <v>1.2710249503191553E-3</v>
      </c>
      <c r="AL29" s="235">
        <f t="shared" si="16"/>
        <v>1.3032987476548541E-3</v>
      </c>
      <c r="AM29" s="235">
        <f t="shared" si="16"/>
        <v>1.3354913068752245E-3</v>
      </c>
      <c r="AN29" s="235">
        <f t="shared" si="16"/>
        <v>1.3676026279802645E-3</v>
      </c>
      <c r="AO29" s="235">
        <f t="shared" si="16"/>
        <v>1.3996327109699748E-3</v>
      </c>
      <c r="AP29" s="235">
        <f t="shared" si="16"/>
        <v>1.4315815558443559E-3</v>
      </c>
      <c r="AQ29" s="235">
        <f t="shared" si="16"/>
        <v>1.4634491626034074E-3</v>
      </c>
      <c r="AR29" s="235">
        <f t="shared" si="16"/>
        <v>1.4952355312471291E-3</v>
      </c>
      <c r="AS29" s="235">
        <f t="shared" ref="AS29" si="17">AS27-AS28</f>
        <v>1.526940661775522E-3</v>
      </c>
    </row>
    <row r="30" spans="1:45">
      <c r="A30" s="23"/>
      <c r="B30"/>
      <c r="C30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</row>
    <row r="31" spans="1:45" ht="16" thickBot="1">
      <c r="A31" s="32" t="s">
        <v>376</v>
      </c>
      <c r="B31" s="32"/>
      <c r="C31" s="32"/>
      <c r="D31" s="32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</row>
    <row r="32" spans="1:45" s="31" customFormat="1" ht="15">
      <c r="A32" s="31" t="s">
        <v>93</v>
      </c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112"/>
      <c r="AN32" s="112"/>
      <c r="AO32" s="112"/>
      <c r="AP32" s="112"/>
      <c r="AQ32" s="112"/>
      <c r="AR32" s="112"/>
      <c r="AS32" s="112"/>
    </row>
    <row r="33" spans="1:45">
      <c r="A33" s="37" t="str">
        <f>"BASELINE (No "&amp;'BCA Summary'!$E$1&amp;" Grant) annual short tons of NOx"</f>
        <v>BASELINE (No BUILD Grant Grant) annual short tons of NOx</v>
      </c>
      <c r="B33" s="37"/>
      <c r="C33" s="37"/>
      <c r="D33" s="38"/>
      <c r="E33" s="78">
        <f t="shared" ref="E33:AS33" si="18">((E$12)*E$57)/$E$64</f>
        <v>8.809838421274524E-2</v>
      </c>
      <c r="F33" s="78">
        <f t="shared" si="18"/>
        <v>9.3778680893564059E-2</v>
      </c>
      <c r="G33" s="78">
        <f t="shared" si="18"/>
        <v>9.9509079749525553E-2</v>
      </c>
      <c r="H33" s="78">
        <f t="shared" si="18"/>
        <v>0.10527241279542227</v>
      </c>
      <c r="I33" s="78">
        <f t="shared" si="18"/>
        <v>0.11105151204604659</v>
      </c>
      <c r="J33" s="78">
        <f t="shared" si="18"/>
        <v>0.11682920951619105</v>
      </c>
      <c r="K33" s="78">
        <f t="shared" si="18"/>
        <v>0.12258833722064812</v>
      </c>
      <c r="L33" s="78">
        <f t="shared" si="18"/>
        <v>0.12831172717421024</v>
      </c>
      <c r="M33" s="78">
        <f t="shared" si="18"/>
        <v>0.13398221139166994</v>
      </c>
      <c r="N33" s="78">
        <f t="shared" si="18"/>
        <v>0.13958262188781967</v>
      </c>
      <c r="O33" s="78">
        <f t="shared" si="18"/>
        <v>0.14509579067745185</v>
      </c>
      <c r="P33" s="78">
        <f t="shared" si="18"/>
        <v>0.15050454977535901</v>
      </c>
      <c r="Q33" s="78">
        <f t="shared" si="18"/>
        <v>0.1557917311963336</v>
      </c>
      <c r="R33" s="78">
        <f t="shared" si="18"/>
        <v>0.16094016695516808</v>
      </c>
      <c r="S33" s="78">
        <f t="shared" si="18"/>
        <v>0.16593268906665498</v>
      </c>
      <c r="T33" s="78">
        <f t="shared" si="18"/>
        <v>0.17075212954558674</v>
      </c>
      <c r="U33" s="78">
        <f t="shared" si="18"/>
        <v>0.17894515769719122</v>
      </c>
      <c r="V33" s="78">
        <f t="shared" si="18"/>
        <v>0.18729583926546844</v>
      </c>
      <c r="W33" s="78">
        <f t="shared" si="18"/>
        <v>0.19580110777249743</v>
      </c>
      <c r="X33" s="78">
        <f t="shared" si="18"/>
        <v>0.20445789674035758</v>
      </c>
      <c r="Y33" s="78">
        <f t="shared" si="18"/>
        <v>0.21326313969112776</v>
      </c>
      <c r="Z33" s="78">
        <f t="shared" si="18"/>
        <v>0.22221377014688723</v>
      </c>
      <c r="AA33" s="78">
        <f t="shared" si="18"/>
        <v>0.23130672162971508</v>
      </c>
      <c r="AB33" s="78">
        <f t="shared" si="18"/>
        <v>0.24053892766169044</v>
      </c>
      <c r="AC33" s="78">
        <f t="shared" si="18"/>
        <v>0.24990732176489244</v>
      </c>
      <c r="AD33" s="78">
        <f t="shared" si="18"/>
        <v>0.2594088374614002</v>
      </c>
      <c r="AE33" s="78">
        <f t="shared" si="18"/>
        <v>0.27006120725910554</v>
      </c>
      <c r="AF33" s="78">
        <f t="shared" si="18"/>
        <v>0.28092423884833034</v>
      </c>
      <c r="AG33" s="78">
        <f t="shared" si="18"/>
        <v>0.29199743592377353</v>
      </c>
      <c r="AH33" s="78">
        <f t="shared" si="18"/>
        <v>0.30328030218013319</v>
      </c>
      <c r="AI33" s="78">
        <f t="shared" si="18"/>
        <v>0.31477234131210818</v>
      </c>
      <c r="AJ33" s="78">
        <f t="shared" si="18"/>
        <v>0.32647305701439683</v>
      </c>
      <c r="AK33" s="78">
        <f t="shared" si="18"/>
        <v>0.33838195298169776</v>
      </c>
      <c r="AL33" s="78">
        <f t="shared" si="18"/>
        <v>0.3504985329087093</v>
      </c>
      <c r="AM33" s="78">
        <f t="shared" si="18"/>
        <v>0.36282230049012998</v>
      </c>
      <c r="AN33" s="78">
        <f t="shared" si="18"/>
        <v>0.37535275942065838</v>
      </c>
      <c r="AO33" s="78">
        <f t="shared" si="18"/>
        <v>0.38808941339499303</v>
      </c>
      <c r="AP33" s="78">
        <f t="shared" si="18"/>
        <v>0.40103176610783231</v>
      </c>
      <c r="AQ33" s="78">
        <f t="shared" si="18"/>
        <v>0.41417932125387485</v>
      </c>
      <c r="AR33" s="78">
        <f t="shared" si="18"/>
        <v>0.42753158252781898</v>
      </c>
      <c r="AS33" s="78">
        <f t="shared" si="18"/>
        <v>0.44108805362436349</v>
      </c>
    </row>
    <row r="34" spans="1:45">
      <c r="A34" s="26" t="str">
        <f>"PREFERRED (With "&amp;'BCA Summary'!$E$1&amp;" Grant) annual short tons of Nox"</f>
        <v>PREFERRED (With BUILD Grant Grant) annual short tons of Nox</v>
      </c>
      <c r="B34" s="26"/>
      <c r="C34" s="26"/>
      <c r="E34" s="80">
        <f t="shared" ref="E34:AS34" si="19">((E$13)*E$57)/$E$64</f>
        <v>8.809838421274524E-2</v>
      </c>
      <c r="F34" s="80">
        <f t="shared" si="19"/>
        <v>9.3778680893564059E-2</v>
      </c>
      <c r="G34" s="80">
        <f t="shared" si="19"/>
        <v>9.9509079749525553E-2</v>
      </c>
      <c r="H34" s="80">
        <f t="shared" si="19"/>
        <v>0.10527241279542227</v>
      </c>
      <c r="I34" s="80">
        <f t="shared" si="19"/>
        <v>0.11105151204604659</v>
      </c>
      <c r="J34" s="80">
        <f t="shared" si="19"/>
        <v>0.11682920951619105</v>
      </c>
      <c r="K34" s="80">
        <f t="shared" si="19"/>
        <v>0.12258833722064812</v>
      </c>
      <c r="L34" s="80">
        <f t="shared" si="19"/>
        <v>0.12831172717421024</v>
      </c>
      <c r="M34" s="80">
        <f t="shared" si="19"/>
        <v>0.13398221139166994</v>
      </c>
      <c r="N34" s="80">
        <f t="shared" si="19"/>
        <v>0.13958262188781967</v>
      </c>
      <c r="O34" s="80">
        <f t="shared" si="19"/>
        <v>0.14509579067745185</v>
      </c>
      <c r="P34" s="80">
        <f t="shared" si="19"/>
        <v>0.15050454977535901</v>
      </c>
      <c r="Q34" s="80">
        <f t="shared" si="19"/>
        <v>0.1557917311963336</v>
      </c>
      <c r="R34" s="80">
        <f t="shared" si="19"/>
        <v>0.16094016695516808</v>
      </c>
      <c r="S34" s="80">
        <f t="shared" si="19"/>
        <v>0.16593268906665498</v>
      </c>
      <c r="T34" s="80">
        <f t="shared" si="19"/>
        <v>4.4272704484991092E-2</v>
      </c>
      <c r="U34" s="80">
        <f t="shared" si="19"/>
        <v>4.5247683429718764E-2</v>
      </c>
      <c r="V34" s="80">
        <f t="shared" si="19"/>
        <v>4.6221709573090561E-2</v>
      </c>
      <c r="W34" s="80">
        <f t="shared" si="19"/>
        <v>4.7194663571649885E-2</v>
      </c>
      <c r="X34" s="80">
        <f t="shared" si="19"/>
        <v>4.8166426081940099E-2</v>
      </c>
      <c r="Y34" s="80">
        <f t="shared" si="19"/>
        <v>4.9136877760504523E-2</v>
      </c>
      <c r="Z34" s="80">
        <f t="shared" si="19"/>
        <v>5.0105899263886582E-2</v>
      </c>
      <c r="AA34" s="80">
        <f t="shared" si="19"/>
        <v>5.1073371248629588E-2</v>
      </c>
      <c r="AB34" s="80">
        <f t="shared" si="19"/>
        <v>5.2039174371276919E-2</v>
      </c>
      <c r="AC34" s="80">
        <f t="shared" si="19"/>
        <v>5.3003189288371957E-2</v>
      </c>
      <c r="AD34" s="80">
        <f t="shared" si="19"/>
        <v>5.396529665645803E-2</v>
      </c>
      <c r="AE34" s="80">
        <f t="shared" si="19"/>
        <v>5.5133776196113697E-2</v>
      </c>
      <c r="AF34" s="80">
        <f t="shared" si="19"/>
        <v>5.6309307167371037E-2</v>
      </c>
      <c r="AG34" s="80">
        <f t="shared" si="19"/>
        <v>5.7491870254653049E-2</v>
      </c>
      <c r="AH34" s="80">
        <f t="shared" si="19"/>
        <v>5.8681446142382868E-2</v>
      </c>
      <c r="AI34" s="80">
        <f t="shared" si="19"/>
        <v>5.9878015514983493E-2</v>
      </c>
      <c r="AJ34" s="80">
        <f t="shared" si="19"/>
        <v>6.1081559056877996E-2</v>
      </c>
      <c r="AK34" s="80">
        <f t="shared" si="19"/>
        <v>6.2292057452489426E-2</v>
      </c>
      <c r="AL34" s="80">
        <f t="shared" si="19"/>
        <v>6.3509491386240888E-2</v>
      </c>
      <c r="AM34" s="80">
        <f t="shared" si="19"/>
        <v>6.4733841542555362E-2</v>
      </c>
      <c r="AN34" s="80">
        <f t="shared" si="19"/>
        <v>6.5965088605855954E-2</v>
      </c>
      <c r="AO34" s="80">
        <f t="shared" si="19"/>
        <v>6.7203213260565692E-2</v>
      </c>
      <c r="AP34" s="80">
        <f t="shared" si="19"/>
        <v>6.844819619110766E-2</v>
      </c>
      <c r="AQ34" s="80">
        <f t="shared" si="19"/>
        <v>6.9700018081904874E-2</v>
      </c>
      <c r="AR34" s="80">
        <f t="shared" si="19"/>
        <v>7.0958659617380432E-2</v>
      </c>
      <c r="AS34" s="80">
        <f t="shared" si="19"/>
        <v>7.2224101481957362E-2</v>
      </c>
    </row>
    <row r="35" spans="1:45">
      <c r="A35" s="39" t="s">
        <v>94</v>
      </c>
      <c r="B35" s="39"/>
      <c r="C35" s="39"/>
      <c r="D35" s="40"/>
      <c r="E35" s="113">
        <f>E33-E34</f>
        <v>0</v>
      </c>
      <c r="F35" s="113">
        <f t="shared" ref="F35:AS35" si="20">F33-F34</f>
        <v>0</v>
      </c>
      <c r="G35" s="113">
        <f t="shared" si="20"/>
        <v>0</v>
      </c>
      <c r="H35" s="113">
        <f t="shared" si="20"/>
        <v>0</v>
      </c>
      <c r="I35" s="113">
        <f t="shared" si="20"/>
        <v>0</v>
      </c>
      <c r="J35" s="113">
        <f t="shared" si="20"/>
        <v>0</v>
      </c>
      <c r="K35" s="113">
        <f t="shared" si="20"/>
        <v>0</v>
      </c>
      <c r="L35" s="113">
        <f t="shared" si="20"/>
        <v>0</v>
      </c>
      <c r="M35" s="113">
        <f t="shared" si="20"/>
        <v>0</v>
      </c>
      <c r="N35" s="113">
        <f t="shared" si="20"/>
        <v>0</v>
      </c>
      <c r="O35" s="113">
        <f t="shared" si="20"/>
        <v>0</v>
      </c>
      <c r="P35" s="113">
        <f t="shared" si="20"/>
        <v>0</v>
      </c>
      <c r="Q35" s="113">
        <f t="shared" si="20"/>
        <v>0</v>
      </c>
      <c r="R35" s="113">
        <f t="shared" si="20"/>
        <v>0</v>
      </c>
      <c r="S35" s="113">
        <f t="shared" si="20"/>
        <v>0</v>
      </c>
      <c r="T35" s="113">
        <f t="shared" si="20"/>
        <v>0.12647942506059565</v>
      </c>
      <c r="U35" s="113">
        <f t="shared" si="20"/>
        <v>0.13369747426747244</v>
      </c>
      <c r="V35" s="113">
        <f t="shared" si="20"/>
        <v>0.14107412969237787</v>
      </c>
      <c r="W35" s="113">
        <f t="shared" si="20"/>
        <v>0.14860644420084754</v>
      </c>
      <c r="X35" s="113">
        <f t="shared" si="20"/>
        <v>0.15629147065841748</v>
      </c>
      <c r="Y35" s="113">
        <f t="shared" si="20"/>
        <v>0.16412626193062324</v>
      </c>
      <c r="Z35" s="113">
        <f t="shared" si="20"/>
        <v>0.17210787088300064</v>
      </c>
      <c r="AA35" s="113">
        <f t="shared" si="20"/>
        <v>0.18023335038108548</v>
      </c>
      <c r="AB35" s="113">
        <f t="shared" si="20"/>
        <v>0.18849975329041352</v>
      </c>
      <c r="AC35" s="113">
        <f t="shared" si="20"/>
        <v>0.1969041324765205</v>
      </c>
      <c r="AD35" s="113">
        <f t="shared" si="20"/>
        <v>0.20544354080494218</v>
      </c>
      <c r="AE35" s="113">
        <f t="shared" si="20"/>
        <v>0.21492743106299184</v>
      </c>
      <c r="AF35" s="113">
        <f t="shared" si="20"/>
        <v>0.22461493168095931</v>
      </c>
      <c r="AG35" s="113">
        <f t="shared" si="20"/>
        <v>0.23450556566912048</v>
      </c>
      <c r="AH35" s="113">
        <f t="shared" si="20"/>
        <v>0.24459885603775033</v>
      </c>
      <c r="AI35" s="113">
        <f t="shared" si="20"/>
        <v>0.25489432579712468</v>
      </c>
      <c r="AJ35" s="113">
        <f t="shared" si="20"/>
        <v>0.26539149795751882</v>
      </c>
      <c r="AK35" s="113">
        <f t="shared" si="20"/>
        <v>0.27608989552920832</v>
      </c>
      <c r="AL35" s="113">
        <f t="shared" si="20"/>
        <v>0.2869890415224684</v>
      </c>
      <c r="AM35" s="113">
        <f t="shared" si="20"/>
        <v>0.29808845894757463</v>
      </c>
      <c r="AN35" s="113">
        <f t="shared" si="20"/>
        <v>0.30938767081480245</v>
      </c>
      <c r="AO35" s="113">
        <f t="shared" si="20"/>
        <v>0.32088620013442737</v>
      </c>
      <c r="AP35" s="113">
        <f t="shared" si="20"/>
        <v>0.33258356991672466</v>
      </c>
      <c r="AQ35" s="113">
        <f t="shared" si="20"/>
        <v>0.34447930317196995</v>
      </c>
      <c r="AR35" s="113">
        <f t="shared" si="20"/>
        <v>0.35657292291043852</v>
      </c>
      <c r="AS35" s="113">
        <f t="shared" si="20"/>
        <v>0.36886395214240614</v>
      </c>
    </row>
    <row r="36" spans="1:45">
      <c r="A36" s="23"/>
      <c r="B36" s="23"/>
      <c r="C36" s="23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</row>
    <row r="37" spans="1:45" s="31" customFormat="1" ht="15">
      <c r="A37" s="31" t="s">
        <v>253</v>
      </c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</row>
    <row r="38" spans="1:45">
      <c r="A38" s="37" t="str">
        <f>"BASELINE (No "&amp;'BCA Summary'!$E$1&amp;" Grant) annual short tons of SO2"</f>
        <v>BASELINE (No BUILD Grant Grant) annual short tons of SO2</v>
      </c>
      <c r="B38" s="37"/>
      <c r="C38" s="37"/>
      <c r="D38" s="38"/>
      <c r="E38" s="233">
        <f t="shared" ref="E38:AS38" si="21">((E$12)*E$58)/$E$64</f>
        <v>6.0339600390531121E-5</v>
      </c>
      <c r="F38" s="233">
        <f t="shared" si="21"/>
        <v>6.4442986756471364E-5</v>
      </c>
      <c r="G38" s="233">
        <f t="shared" si="21"/>
        <v>6.8615007326965755E-5</v>
      </c>
      <c r="H38" s="233">
        <f t="shared" si="21"/>
        <v>7.2846063478435833E-5</v>
      </c>
      <c r="I38" s="233">
        <f t="shared" si="21"/>
        <v>7.7126556587303041E-5</v>
      </c>
      <c r="J38" s="233">
        <f t="shared" si="21"/>
        <v>8.1446888029988905E-5</v>
      </c>
      <c r="K38" s="233">
        <f t="shared" si="21"/>
        <v>8.5797459182914936E-5</v>
      </c>
      <c r="L38" s="233">
        <f t="shared" si="21"/>
        <v>9.0168671422502579E-5</v>
      </c>
      <c r="M38" s="233">
        <f t="shared" si="21"/>
        <v>9.4550926125173425E-5</v>
      </c>
      <c r="N38" s="233">
        <f t="shared" si="21"/>
        <v>9.8934624667348906E-5</v>
      </c>
      <c r="O38" s="233">
        <f t="shared" si="21"/>
        <v>1.0331016842545049E-4</v>
      </c>
      <c r="P38" s="233">
        <f t="shared" si="21"/>
        <v>1.0766795877589975E-4</v>
      </c>
      <c r="Q38" s="233">
        <f t="shared" si="21"/>
        <v>1.1199839709511811E-4</v>
      </c>
      <c r="R38" s="233">
        <f t="shared" si="21"/>
        <v>1.1629188475952709E-4</v>
      </c>
      <c r="S38" s="233">
        <f t="shared" si="21"/>
        <v>1.2053882314554825E-4</v>
      </c>
      <c r="T38" s="233">
        <f t="shared" si="21"/>
        <v>1.2472961362960301E-4</v>
      </c>
      <c r="U38" s="233">
        <f t="shared" si="21"/>
        <v>1.302816194661651E-4</v>
      </c>
      <c r="V38" s="233">
        <f t="shared" si="21"/>
        <v>1.3590445473604348E-4</v>
      </c>
      <c r="W38" s="233">
        <f t="shared" si="21"/>
        <v>1.4159416706482331E-4</v>
      </c>
      <c r="X38" s="233">
        <f t="shared" si="21"/>
        <v>1.4734680407809016E-4</v>
      </c>
      <c r="Y38" s="233">
        <f t="shared" si="21"/>
        <v>1.5315841340142908E-4</v>
      </c>
      <c r="Z38" s="233">
        <f t="shared" si="21"/>
        <v>1.5902504266042557E-4</v>
      </c>
      <c r="AA38" s="233">
        <f t="shared" si="21"/>
        <v>1.6494273948066497E-4</v>
      </c>
      <c r="AB38" s="233">
        <f t="shared" si="21"/>
        <v>1.7090755148773247E-4</v>
      </c>
      <c r="AC38" s="233">
        <f t="shared" si="21"/>
        <v>1.7691552630721353E-4</v>
      </c>
      <c r="AD38" s="233">
        <f t="shared" si="21"/>
        <v>1.8296271156469334E-4</v>
      </c>
      <c r="AE38" s="233">
        <f t="shared" si="21"/>
        <v>1.9039067200238199E-4</v>
      </c>
      <c r="AF38" s="233">
        <f t="shared" si="21"/>
        <v>1.9796022787535908E-4</v>
      </c>
      <c r="AG38" s="233">
        <f t="shared" si="21"/>
        <v>2.0567081455870846E-4</v>
      </c>
      <c r="AH38" s="233">
        <f t="shared" si="21"/>
        <v>2.1352186742751343E-4</v>
      </c>
      <c r="AI38" s="233">
        <f t="shared" si="21"/>
        <v>2.2151282185685789E-4</v>
      </c>
      <c r="AJ38" s="233">
        <f t="shared" si="21"/>
        <v>2.2964311322182533E-4</v>
      </c>
      <c r="AK38" s="233">
        <f t="shared" si="21"/>
        <v>2.3791217689749951E-4</v>
      </c>
      <c r="AL38" s="233">
        <f t="shared" si="21"/>
        <v>2.463194482589638E-4</v>
      </c>
      <c r="AM38" s="233">
        <f t="shared" si="21"/>
        <v>2.5486436268130197E-4</v>
      </c>
      <c r="AN38" s="233">
        <f t="shared" si="21"/>
        <v>2.6354635553959763E-4</v>
      </c>
      <c r="AO38" s="233">
        <f t="shared" si="21"/>
        <v>2.7236486220893449E-4</v>
      </c>
      <c r="AP38" s="233">
        <f t="shared" si="21"/>
        <v>2.8131931806439587E-4</v>
      </c>
      <c r="AQ38" s="233">
        <f t="shared" si="21"/>
        <v>2.9040915848106572E-4</v>
      </c>
      <c r="AR38" s="233">
        <f t="shared" si="21"/>
        <v>2.9963381883402749E-4</v>
      </c>
      <c r="AS38" s="233">
        <f t="shared" si="21"/>
        <v>3.0899273449836487E-4</v>
      </c>
    </row>
    <row r="39" spans="1:45">
      <c r="A39" s="26" t="str">
        <f>"PREFERRED (With "&amp;'BCA Summary'!$E$1&amp;" Grant) annual short tons of SO2"</f>
        <v>PREFERRED (With BUILD Grant Grant) annual short tons of SO2</v>
      </c>
      <c r="B39" s="26"/>
      <c r="C39" s="26"/>
      <c r="E39" s="234">
        <f t="shared" ref="E39:AS39" si="22">((E$13)*E$58)/$E$64</f>
        <v>6.0339600390531121E-5</v>
      </c>
      <c r="F39" s="234">
        <f t="shared" si="22"/>
        <v>6.4442986756471364E-5</v>
      </c>
      <c r="G39" s="234">
        <f t="shared" si="22"/>
        <v>6.8615007326965755E-5</v>
      </c>
      <c r="H39" s="234">
        <f t="shared" si="22"/>
        <v>7.2846063478435833E-5</v>
      </c>
      <c r="I39" s="234">
        <f t="shared" si="22"/>
        <v>7.7126556587303041E-5</v>
      </c>
      <c r="J39" s="234">
        <f t="shared" si="22"/>
        <v>8.1446888029988905E-5</v>
      </c>
      <c r="K39" s="234">
        <f t="shared" si="22"/>
        <v>8.5797459182914936E-5</v>
      </c>
      <c r="L39" s="234">
        <f t="shared" si="22"/>
        <v>9.0168671422502579E-5</v>
      </c>
      <c r="M39" s="234">
        <f t="shared" si="22"/>
        <v>9.4550926125173425E-5</v>
      </c>
      <c r="N39" s="234">
        <f t="shared" si="22"/>
        <v>9.8934624667348906E-5</v>
      </c>
      <c r="O39" s="234">
        <f t="shared" si="22"/>
        <v>1.0331016842545049E-4</v>
      </c>
      <c r="P39" s="234">
        <f t="shared" si="22"/>
        <v>1.0766795877589975E-4</v>
      </c>
      <c r="Q39" s="234">
        <f t="shared" si="22"/>
        <v>1.1199839709511811E-4</v>
      </c>
      <c r="R39" s="234">
        <f t="shared" si="22"/>
        <v>1.1629188475952709E-4</v>
      </c>
      <c r="S39" s="234">
        <f t="shared" si="22"/>
        <v>1.2053882314554825E-4</v>
      </c>
      <c r="T39" s="234">
        <f t="shared" si="22"/>
        <v>3.2339961671027109E-5</v>
      </c>
      <c r="U39" s="234">
        <f t="shared" si="22"/>
        <v>3.2942726979466362E-5</v>
      </c>
      <c r="V39" s="234">
        <f t="shared" si="22"/>
        <v>3.3539112567231448E-5</v>
      </c>
      <c r="W39" s="234">
        <f t="shared" si="22"/>
        <v>3.4128964612890502E-5</v>
      </c>
      <c r="X39" s="234">
        <f t="shared" si="22"/>
        <v>3.4712129295011677E-5</v>
      </c>
      <c r="Y39" s="234">
        <f t="shared" si="22"/>
        <v>3.5288452792163069E-5</v>
      </c>
      <c r="Z39" s="234">
        <f t="shared" si="22"/>
        <v>3.5857781282912849E-5</v>
      </c>
      <c r="AA39" s="234">
        <f t="shared" si="22"/>
        <v>3.6419960945829133E-5</v>
      </c>
      <c r="AB39" s="234">
        <f t="shared" si="22"/>
        <v>3.6974837959480059E-5</v>
      </c>
      <c r="AC39" s="234">
        <f t="shared" si="22"/>
        <v>3.7522258502433764E-5</v>
      </c>
      <c r="AD39" s="234">
        <f t="shared" si="22"/>
        <v>3.8062068753258372E-5</v>
      </c>
      <c r="AE39" s="234">
        <f t="shared" si="22"/>
        <v>3.8868806099707229E-5</v>
      </c>
      <c r="AF39" s="234">
        <f t="shared" si="22"/>
        <v>3.9679748974507581E-5</v>
      </c>
      <c r="AG39" s="234">
        <f t="shared" si="22"/>
        <v>4.0494875403169139E-5</v>
      </c>
      <c r="AH39" s="234">
        <f t="shared" si="22"/>
        <v>4.1314163411201675E-5</v>
      </c>
      <c r="AI39" s="234">
        <f t="shared" si="22"/>
        <v>4.2137591024114869E-5</v>
      </c>
      <c r="AJ39" s="234">
        <f t="shared" si="22"/>
        <v>4.2965136267418484E-5</v>
      </c>
      <c r="AK39" s="234">
        <f t="shared" si="22"/>
        <v>4.3796777166622261E-5</v>
      </c>
      <c r="AL39" s="234">
        <f t="shared" si="22"/>
        <v>4.4632491747235937E-5</v>
      </c>
      <c r="AM39" s="234">
        <f t="shared" si="22"/>
        <v>4.5472258034769212E-5</v>
      </c>
      <c r="AN39" s="234">
        <f t="shared" si="22"/>
        <v>4.631605405473185E-5</v>
      </c>
      <c r="AO39" s="234">
        <f t="shared" si="22"/>
        <v>4.716385783263357E-5</v>
      </c>
      <c r="AP39" s="234">
        <f t="shared" si="22"/>
        <v>4.8015647393984118E-5</v>
      </c>
      <c r="AQ39" s="234">
        <f t="shared" si="22"/>
        <v>4.8871400764293198E-5</v>
      </c>
      <c r="AR39" s="234">
        <f t="shared" si="22"/>
        <v>4.9731095969070597E-5</v>
      </c>
      <c r="AS39" s="234">
        <f t="shared" si="22"/>
        <v>5.0594711033825985E-5</v>
      </c>
    </row>
    <row r="40" spans="1:45">
      <c r="A40" s="39" t="s">
        <v>95</v>
      </c>
      <c r="B40" s="39"/>
      <c r="C40" s="39"/>
      <c r="D40" s="40"/>
      <c r="E40" s="235">
        <f>E38-E39</f>
        <v>0</v>
      </c>
      <c r="F40" s="235">
        <f t="shared" ref="F40:AS40" si="23">F38-F39</f>
        <v>0</v>
      </c>
      <c r="G40" s="235">
        <f t="shared" si="23"/>
        <v>0</v>
      </c>
      <c r="H40" s="235">
        <f t="shared" si="23"/>
        <v>0</v>
      </c>
      <c r="I40" s="235">
        <f t="shared" si="23"/>
        <v>0</v>
      </c>
      <c r="J40" s="235">
        <f t="shared" si="23"/>
        <v>0</v>
      </c>
      <c r="K40" s="235">
        <f t="shared" si="23"/>
        <v>0</v>
      </c>
      <c r="L40" s="235">
        <f t="shared" si="23"/>
        <v>0</v>
      </c>
      <c r="M40" s="235">
        <f t="shared" si="23"/>
        <v>0</v>
      </c>
      <c r="N40" s="235">
        <f t="shared" si="23"/>
        <v>0</v>
      </c>
      <c r="O40" s="235">
        <f t="shared" si="23"/>
        <v>0</v>
      </c>
      <c r="P40" s="235">
        <f t="shared" si="23"/>
        <v>0</v>
      </c>
      <c r="Q40" s="235">
        <f t="shared" si="23"/>
        <v>0</v>
      </c>
      <c r="R40" s="235">
        <f t="shared" si="23"/>
        <v>0</v>
      </c>
      <c r="S40" s="235">
        <f t="shared" si="23"/>
        <v>0</v>
      </c>
      <c r="T40" s="235">
        <f t="shared" si="23"/>
        <v>9.2389651958575897E-5</v>
      </c>
      <c r="U40" s="235">
        <f t="shared" si="23"/>
        <v>9.733889248669873E-5</v>
      </c>
      <c r="V40" s="235">
        <f t="shared" si="23"/>
        <v>1.0236534216881203E-4</v>
      </c>
      <c r="W40" s="235">
        <f t="shared" si="23"/>
        <v>1.074652024519328E-4</v>
      </c>
      <c r="X40" s="235">
        <f t="shared" si="23"/>
        <v>1.1263467478307847E-4</v>
      </c>
      <c r="Y40" s="235">
        <f t="shared" si="23"/>
        <v>1.1786996060926601E-4</v>
      </c>
      <c r="Z40" s="235">
        <f t="shared" si="23"/>
        <v>1.2316726137751271E-4</v>
      </c>
      <c r="AA40" s="235">
        <f t="shared" si="23"/>
        <v>1.2852277853483583E-4</v>
      </c>
      <c r="AB40" s="235">
        <f t="shared" si="23"/>
        <v>1.339327135282524E-4</v>
      </c>
      <c r="AC40" s="235">
        <f t="shared" si="23"/>
        <v>1.3939326780477976E-4</v>
      </c>
      <c r="AD40" s="235">
        <f t="shared" si="23"/>
        <v>1.4490064281143497E-4</v>
      </c>
      <c r="AE40" s="235">
        <f t="shared" si="23"/>
        <v>1.5152186590267476E-4</v>
      </c>
      <c r="AF40" s="235">
        <f t="shared" si="23"/>
        <v>1.5828047890085149E-4</v>
      </c>
      <c r="AG40" s="235">
        <f t="shared" si="23"/>
        <v>1.6517593915553932E-4</v>
      </c>
      <c r="AH40" s="235">
        <f t="shared" si="23"/>
        <v>1.7220770401631176E-4</v>
      </c>
      <c r="AI40" s="235">
        <f t="shared" si="23"/>
        <v>1.7937523083274301E-4</v>
      </c>
      <c r="AJ40" s="235">
        <f t="shared" si="23"/>
        <v>1.8667797695440686E-4</v>
      </c>
      <c r="AK40" s="235">
        <f t="shared" si="23"/>
        <v>1.9411539973087724E-4</v>
      </c>
      <c r="AL40" s="235">
        <f t="shared" si="23"/>
        <v>2.0168695651172786E-4</v>
      </c>
      <c r="AM40" s="235">
        <f t="shared" si="23"/>
        <v>2.0939210464653276E-4</v>
      </c>
      <c r="AN40" s="235">
        <f t="shared" si="23"/>
        <v>2.1723030148486578E-4</v>
      </c>
      <c r="AO40" s="235">
        <f t="shared" si="23"/>
        <v>2.2520100437630093E-4</v>
      </c>
      <c r="AP40" s="235">
        <f t="shared" si="23"/>
        <v>2.3330367067041176E-4</v>
      </c>
      <c r="AQ40" s="235">
        <f t="shared" si="23"/>
        <v>2.4153775771677252E-4</v>
      </c>
      <c r="AR40" s="235">
        <f t="shared" si="23"/>
        <v>2.4990272286495689E-4</v>
      </c>
      <c r="AS40" s="235">
        <f t="shared" si="23"/>
        <v>2.5839802346453887E-4</v>
      </c>
    </row>
    <row r="41" spans="1:45">
      <c r="A41" s="23"/>
      <c r="B41" s="23"/>
      <c r="C41" s="23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</row>
    <row r="42" spans="1:45" s="31" customFormat="1" ht="15">
      <c r="A42" s="31" t="s">
        <v>254</v>
      </c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112"/>
      <c r="AR42" s="112"/>
      <c r="AS42" s="112"/>
    </row>
    <row r="43" spans="1:45">
      <c r="A43" s="37" t="str">
        <f>"BASELINE (No "&amp;'BCA Summary'!$E$1&amp;" Grant) annual short tons of PM 2.5"</f>
        <v>BASELINE (No BUILD Grant Grant) annual short tons of PM 2.5</v>
      </c>
      <c r="B43" s="37"/>
      <c r="C43" s="37"/>
      <c r="D43" s="38"/>
      <c r="E43" s="233">
        <f t="shared" ref="E43:AS43" si="24">((E$12)*E$59)/$E$64</f>
        <v>2.189172055019865E-3</v>
      </c>
      <c r="F43" s="233">
        <f t="shared" si="24"/>
        <v>2.2449309894266452E-3</v>
      </c>
      <c r="G43" s="233">
        <f t="shared" si="24"/>
        <v>2.2881691751017066E-3</v>
      </c>
      <c r="H43" s="233">
        <f t="shared" si="24"/>
        <v>2.3175936209865349E-3</v>
      </c>
      <c r="I43" s="233">
        <f t="shared" si="24"/>
        <v>2.3319113360226133E-3</v>
      </c>
      <c r="J43" s="233">
        <f t="shared" si="24"/>
        <v>2.329829329151426E-3</v>
      </c>
      <c r="K43" s="233">
        <f t="shared" si="24"/>
        <v>2.3100546093144571E-3</v>
      </c>
      <c r="L43" s="233">
        <f t="shared" si="24"/>
        <v>2.2712941854531902E-3</v>
      </c>
      <c r="M43" s="233">
        <f t="shared" si="24"/>
        <v>2.2122550665091109E-3</v>
      </c>
      <c r="N43" s="233">
        <f t="shared" si="24"/>
        <v>2.1316442614237015E-3</v>
      </c>
      <c r="O43" s="233">
        <f t="shared" si="24"/>
        <v>2.0281687791384459E-3</v>
      </c>
      <c r="P43" s="233">
        <f t="shared" si="24"/>
        <v>1.9005356285948295E-3</v>
      </c>
      <c r="Q43" s="233">
        <f t="shared" si="24"/>
        <v>1.747451818734335E-3</v>
      </c>
      <c r="R43" s="233">
        <f t="shared" si="24"/>
        <v>1.567624358498447E-3</v>
      </c>
      <c r="S43" s="233">
        <f t="shared" si="24"/>
        <v>1.3597602568286497E-3</v>
      </c>
      <c r="T43" s="233">
        <f t="shared" si="24"/>
        <v>1.122566522666427E-3</v>
      </c>
      <c r="U43" s="233">
        <f t="shared" si="24"/>
        <v>1.1328650349856351E-3</v>
      </c>
      <c r="V43" s="233">
        <f t="shared" si="24"/>
        <v>1.1397373588128677E-3</v>
      </c>
      <c r="W43" s="233">
        <f t="shared" si="24"/>
        <v>1.1429909570516382E-3</v>
      </c>
      <c r="X43" s="233">
        <f t="shared" si="24"/>
        <v>1.1424332926054611E-3</v>
      </c>
      <c r="Y43" s="233">
        <f t="shared" si="24"/>
        <v>1.1378718283778487E-3</v>
      </c>
      <c r="Z43" s="233">
        <f t="shared" si="24"/>
        <v>1.1291140272723156E-3</v>
      </c>
      <c r="AA43" s="233">
        <f t="shared" si="24"/>
        <v>1.1159673521923749E-3</v>
      </c>
      <c r="AB43" s="233">
        <f t="shared" si="24"/>
        <v>1.0982392660415401E-3</v>
      </c>
      <c r="AC43" s="233">
        <f t="shared" si="24"/>
        <v>1.075737231723325E-3</v>
      </c>
      <c r="AD43" s="233">
        <f t="shared" si="24"/>
        <v>1.0482687121412429E-3</v>
      </c>
      <c r="AE43" s="233">
        <f t="shared" si="24"/>
        <v>1.0815715089134139E-3</v>
      </c>
      <c r="AF43" s="233">
        <f t="shared" si="24"/>
        <v>1.114926943788579E-3</v>
      </c>
      <c r="AG43" s="233">
        <f t="shared" si="24"/>
        <v>1.1483084793956697E-3</v>
      </c>
      <c r="AH43" s="233">
        <f t="shared" si="24"/>
        <v>1.1816895783636147E-3</v>
      </c>
      <c r="AI43" s="233">
        <f t="shared" si="24"/>
        <v>1.215043703321345E-3</v>
      </c>
      <c r="AJ43" s="233">
        <f t="shared" si="24"/>
        <v>1.2483443168977899E-3</v>
      </c>
      <c r="AK43" s="233">
        <f t="shared" si="24"/>
        <v>1.2815648817218806E-3</v>
      </c>
      <c r="AL43" s="233">
        <f t="shared" si="24"/>
        <v>1.3146788604225456E-3</v>
      </c>
      <c r="AM43" s="233">
        <f t="shared" si="24"/>
        <v>1.3476597156287158E-3</v>
      </c>
      <c r="AN43" s="233">
        <f t="shared" si="24"/>
        <v>1.3804809099693209E-3</v>
      </c>
      <c r="AO43" s="233">
        <f t="shared" si="24"/>
        <v>1.4131159060732916E-3</v>
      </c>
      <c r="AP43" s="233">
        <f t="shared" si="24"/>
        <v>1.4455381665695573E-3</v>
      </c>
      <c r="AQ43" s="233">
        <f t="shared" si="24"/>
        <v>1.4777211540870476E-3</v>
      </c>
      <c r="AR43" s="233">
        <f t="shared" si="24"/>
        <v>1.5096383312546934E-3</v>
      </c>
      <c r="AS43" s="233">
        <f t="shared" si="24"/>
        <v>1.5412631607014248E-3</v>
      </c>
    </row>
    <row r="44" spans="1:45">
      <c r="A44" s="26" t="str">
        <f>"PREFERRED (With "&amp;'BCA Summary'!$E$1&amp;" Grant) annual short tons of PM2.5"</f>
        <v>PREFERRED (With BUILD Grant Grant) annual short tons of PM2.5</v>
      </c>
      <c r="B44" s="26"/>
      <c r="C44" s="26"/>
      <c r="E44" s="234">
        <f t="shared" ref="E44:AS44" si="25">((E$13)*E$59)/$E$64</f>
        <v>2.189172055019865E-3</v>
      </c>
      <c r="F44" s="234">
        <f t="shared" si="25"/>
        <v>2.2449309894266452E-3</v>
      </c>
      <c r="G44" s="234">
        <f t="shared" si="25"/>
        <v>2.2881691751017066E-3</v>
      </c>
      <c r="H44" s="234">
        <f t="shared" si="25"/>
        <v>2.3175936209865349E-3</v>
      </c>
      <c r="I44" s="234">
        <f t="shared" si="25"/>
        <v>2.3319113360226133E-3</v>
      </c>
      <c r="J44" s="234">
        <f t="shared" si="25"/>
        <v>2.329829329151426E-3</v>
      </c>
      <c r="K44" s="234">
        <f t="shared" si="25"/>
        <v>2.3100546093144571E-3</v>
      </c>
      <c r="L44" s="234">
        <f t="shared" si="25"/>
        <v>2.2712941854531902E-3</v>
      </c>
      <c r="M44" s="234">
        <f t="shared" si="25"/>
        <v>2.2122550665091109E-3</v>
      </c>
      <c r="N44" s="234">
        <f t="shared" si="25"/>
        <v>2.1316442614237015E-3</v>
      </c>
      <c r="O44" s="234">
        <f t="shared" si="25"/>
        <v>2.0281687791384459E-3</v>
      </c>
      <c r="P44" s="234">
        <f t="shared" si="25"/>
        <v>1.9005356285948295E-3</v>
      </c>
      <c r="Q44" s="234">
        <f t="shared" si="25"/>
        <v>1.747451818734335E-3</v>
      </c>
      <c r="R44" s="234">
        <f t="shared" si="25"/>
        <v>1.567624358498447E-3</v>
      </c>
      <c r="S44" s="234">
        <f t="shared" si="25"/>
        <v>1.3597602568286497E-3</v>
      </c>
      <c r="T44" s="234">
        <f t="shared" si="25"/>
        <v>2.9105965503924402E-4</v>
      </c>
      <c r="U44" s="234">
        <f t="shared" si="25"/>
        <v>2.864537891456555E-4</v>
      </c>
      <c r="V44" s="234">
        <f t="shared" si="25"/>
        <v>2.8126951135300715E-4</v>
      </c>
      <c r="W44" s="234">
        <f t="shared" si="25"/>
        <v>2.754993283601183E-4</v>
      </c>
      <c r="X44" s="234">
        <f t="shared" si="25"/>
        <v>2.6913574686580801E-4</v>
      </c>
      <c r="Y44" s="234">
        <f t="shared" si="25"/>
        <v>2.6217127356889508E-4</v>
      </c>
      <c r="Z44" s="234">
        <f t="shared" si="25"/>
        <v>2.54598415168199E-4</v>
      </c>
      <c r="AA44" s="234">
        <f t="shared" si="25"/>
        <v>2.4640967836253851E-4</v>
      </c>
      <c r="AB44" s="234">
        <f t="shared" si="25"/>
        <v>2.3759756985073291E-4</v>
      </c>
      <c r="AC44" s="234">
        <f t="shared" si="25"/>
        <v>2.2815459633160134E-4</v>
      </c>
      <c r="AD44" s="234">
        <f t="shared" si="25"/>
        <v>2.1807326450396265E-4</v>
      </c>
      <c r="AE44" s="234">
        <f t="shared" si="25"/>
        <v>2.2080595031671139E-4</v>
      </c>
      <c r="AF44" s="234">
        <f t="shared" si="25"/>
        <v>2.2347934092246252E-4</v>
      </c>
      <c r="AG44" s="234">
        <f t="shared" si="25"/>
        <v>2.2609240352017339E-4</v>
      </c>
      <c r="AH44" s="234">
        <f t="shared" si="25"/>
        <v>2.2864410530880168E-4</v>
      </c>
      <c r="AI44" s="234">
        <f t="shared" si="25"/>
        <v>2.3113341348730466E-4</v>
      </c>
      <c r="AJ44" s="234">
        <f t="shared" si="25"/>
        <v>2.3355929525463982E-4</v>
      </c>
      <c r="AK44" s="234">
        <f t="shared" si="25"/>
        <v>2.3592071780976473E-4</v>
      </c>
      <c r="AL44" s="234">
        <f t="shared" si="25"/>
        <v>2.3821664835163692E-4</v>
      </c>
      <c r="AM44" s="234">
        <f t="shared" si="25"/>
        <v>2.4044605407921369E-4</v>
      </c>
      <c r="AN44" s="234">
        <f t="shared" si="25"/>
        <v>2.4260790219145256E-4</v>
      </c>
      <c r="AO44" s="234">
        <f t="shared" si="25"/>
        <v>2.4470115988731102E-4</v>
      </c>
      <c r="AP44" s="234">
        <f t="shared" si="25"/>
        <v>2.4672479436574655E-4</v>
      </c>
      <c r="AQ44" s="234">
        <f t="shared" si="25"/>
        <v>2.4867777282571655E-4</v>
      </c>
      <c r="AR44" s="234">
        <f t="shared" si="25"/>
        <v>2.5055906246617863E-4</v>
      </c>
      <c r="AS44" s="234">
        <f t="shared" si="25"/>
        <v>2.5236763048609013E-4</v>
      </c>
    </row>
    <row r="45" spans="1:45">
      <c r="A45" s="39" t="s">
        <v>101</v>
      </c>
      <c r="B45" s="39"/>
      <c r="C45" s="39"/>
      <c r="D45" s="40"/>
      <c r="E45" s="235">
        <f>E43-E44</f>
        <v>0</v>
      </c>
      <c r="F45" s="235">
        <f t="shared" ref="F45:AS45" si="26">F43-F44</f>
        <v>0</v>
      </c>
      <c r="G45" s="235">
        <f t="shared" si="26"/>
        <v>0</v>
      </c>
      <c r="H45" s="235">
        <f t="shared" si="26"/>
        <v>0</v>
      </c>
      <c r="I45" s="235">
        <f t="shared" si="26"/>
        <v>0</v>
      </c>
      <c r="J45" s="235">
        <f t="shared" si="26"/>
        <v>0</v>
      </c>
      <c r="K45" s="235">
        <f t="shared" si="26"/>
        <v>0</v>
      </c>
      <c r="L45" s="235">
        <f t="shared" si="26"/>
        <v>0</v>
      </c>
      <c r="M45" s="235">
        <f t="shared" si="26"/>
        <v>0</v>
      </c>
      <c r="N45" s="235">
        <f t="shared" si="26"/>
        <v>0</v>
      </c>
      <c r="O45" s="235">
        <f t="shared" si="26"/>
        <v>0</v>
      </c>
      <c r="P45" s="235">
        <f t="shared" si="26"/>
        <v>0</v>
      </c>
      <c r="Q45" s="235">
        <f t="shared" si="26"/>
        <v>0</v>
      </c>
      <c r="R45" s="235">
        <f t="shared" si="26"/>
        <v>0</v>
      </c>
      <c r="S45" s="235">
        <f t="shared" si="26"/>
        <v>0</v>
      </c>
      <c r="T45" s="235">
        <f t="shared" si="26"/>
        <v>8.3150686762718307E-4</v>
      </c>
      <c r="U45" s="235">
        <f t="shared" si="26"/>
        <v>8.464112458399796E-4</v>
      </c>
      <c r="V45" s="235">
        <f t="shared" si="26"/>
        <v>8.5846784745986055E-4</v>
      </c>
      <c r="W45" s="235">
        <f t="shared" si="26"/>
        <v>8.6749162869151992E-4</v>
      </c>
      <c r="X45" s="235">
        <f t="shared" si="26"/>
        <v>8.732975457396531E-4</v>
      </c>
      <c r="Y45" s="235">
        <f t="shared" si="26"/>
        <v>8.7570055480895364E-4</v>
      </c>
      <c r="Z45" s="235">
        <f t="shared" si="26"/>
        <v>8.745156121041165E-4</v>
      </c>
      <c r="AA45" s="235">
        <f t="shared" si="26"/>
        <v>8.6955767382983641E-4</v>
      </c>
      <c r="AB45" s="235">
        <f t="shared" si="26"/>
        <v>8.6064169619080725E-4</v>
      </c>
      <c r="AC45" s="235">
        <f t="shared" si="26"/>
        <v>8.4758263539172366E-4</v>
      </c>
      <c r="AD45" s="235">
        <f t="shared" si="26"/>
        <v>8.3019544763728026E-4</v>
      </c>
      <c r="AE45" s="235">
        <f t="shared" si="26"/>
        <v>8.6076555859670252E-4</v>
      </c>
      <c r="AF45" s="235">
        <f t="shared" si="26"/>
        <v>8.9144760286611648E-4</v>
      </c>
      <c r="AG45" s="235">
        <f t="shared" si="26"/>
        <v>9.2221607587549622E-4</v>
      </c>
      <c r="AH45" s="235">
        <f t="shared" si="26"/>
        <v>9.5304547305481301E-4</v>
      </c>
      <c r="AI45" s="235">
        <f t="shared" si="26"/>
        <v>9.839102898340404E-4</v>
      </c>
      <c r="AJ45" s="235">
        <f t="shared" si="26"/>
        <v>1.01478502164315E-3</v>
      </c>
      <c r="AK45" s="235">
        <f t="shared" si="26"/>
        <v>1.045644163912116E-3</v>
      </c>
      <c r="AL45" s="235">
        <f t="shared" si="26"/>
        <v>1.0764622120709086E-3</v>
      </c>
      <c r="AM45" s="235">
        <f t="shared" si="26"/>
        <v>1.1072136615495021E-3</v>
      </c>
      <c r="AN45" s="235">
        <f t="shared" si="26"/>
        <v>1.1378730077778684E-3</v>
      </c>
      <c r="AO45" s="235">
        <f t="shared" si="26"/>
        <v>1.1684147461859806E-3</v>
      </c>
      <c r="AP45" s="235">
        <f t="shared" si="26"/>
        <v>1.1988133722038107E-3</v>
      </c>
      <c r="AQ45" s="235">
        <f t="shared" si="26"/>
        <v>1.2290433812613311E-3</v>
      </c>
      <c r="AR45" s="235">
        <f t="shared" si="26"/>
        <v>1.2590792687885146E-3</v>
      </c>
      <c r="AS45" s="235">
        <f t="shared" si="26"/>
        <v>1.2888955302153347E-3</v>
      </c>
    </row>
    <row r="47" spans="1:45" ht="16" thickBot="1">
      <c r="A47" s="32" t="s">
        <v>27</v>
      </c>
      <c r="B47" s="32"/>
      <c r="C47" s="32"/>
      <c r="D47" s="3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</row>
    <row r="48" spans="1:45" ht="14">
      <c r="A48" t="s">
        <v>31</v>
      </c>
      <c r="D48"/>
      <c r="E48" s="1">
        <f>'Summary of Benefits'!D168</f>
        <v>345</v>
      </c>
      <c r="F48" s="110" t="s">
        <v>32</v>
      </c>
      <c r="G48"/>
      <c r="H48" s="1"/>
    </row>
    <row r="49" spans="1:45" ht="15">
      <c r="A49" s="31" t="s">
        <v>371</v>
      </c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</row>
    <row r="50" spans="1:45">
      <c r="B50"/>
      <c r="C50"/>
      <c r="D50"/>
      <c r="E50">
        <v>2015</v>
      </c>
      <c r="F50">
        <v>2016</v>
      </c>
      <c r="G50" s="22">
        <v>2017</v>
      </c>
      <c r="H50" s="22">
        <v>2018</v>
      </c>
      <c r="I50" s="22">
        <v>2019</v>
      </c>
      <c r="J50" s="22">
        <v>2020</v>
      </c>
      <c r="K50" s="22">
        <v>2021</v>
      </c>
      <c r="L50" s="22">
        <v>2022</v>
      </c>
      <c r="M50" s="22">
        <v>2023</v>
      </c>
      <c r="N50" s="22">
        <v>2024</v>
      </c>
      <c r="O50" s="22">
        <v>2025</v>
      </c>
      <c r="P50" s="22">
        <v>2026</v>
      </c>
      <c r="Q50" s="22">
        <v>2027</v>
      </c>
      <c r="R50" s="22">
        <v>2028</v>
      </c>
      <c r="S50" s="22">
        <v>2029</v>
      </c>
      <c r="T50" s="22">
        <v>2030</v>
      </c>
      <c r="U50" s="22">
        <v>2031</v>
      </c>
      <c r="V50" s="22">
        <v>2032</v>
      </c>
      <c r="W50" s="22">
        <v>2033</v>
      </c>
      <c r="X50" s="22">
        <v>2034</v>
      </c>
      <c r="Y50" s="22">
        <v>2035</v>
      </c>
      <c r="Z50" s="22">
        <v>2036</v>
      </c>
      <c r="AA50" s="22">
        <v>2037</v>
      </c>
      <c r="AB50" s="22">
        <v>2038</v>
      </c>
      <c r="AC50" s="22">
        <v>2039</v>
      </c>
      <c r="AD50" s="22">
        <v>2040</v>
      </c>
      <c r="AE50" s="22">
        <v>2041</v>
      </c>
      <c r="AF50" s="22">
        <v>2042</v>
      </c>
      <c r="AG50" s="22">
        <v>2043</v>
      </c>
      <c r="AH50" s="22">
        <v>2044</v>
      </c>
      <c r="AI50" s="22">
        <v>2045</v>
      </c>
      <c r="AJ50" s="22">
        <v>2046</v>
      </c>
      <c r="AK50" s="22">
        <v>2047</v>
      </c>
      <c r="AL50" s="22">
        <v>2048</v>
      </c>
      <c r="AM50" s="22">
        <v>2049</v>
      </c>
      <c r="AN50" s="22">
        <v>2050</v>
      </c>
      <c r="AO50" s="22">
        <v>2051</v>
      </c>
      <c r="AP50" s="22">
        <v>2052</v>
      </c>
      <c r="AQ50" s="22">
        <v>2053</v>
      </c>
      <c r="AR50" s="22">
        <v>2054</v>
      </c>
      <c r="AS50" s="22">
        <v>2055</v>
      </c>
    </row>
    <row r="51" spans="1:45">
      <c r="B51"/>
      <c r="C51"/>
      <c r="D51" s="211" t="s">
        <v>60</v>
      </c>
      <c r="E51" s="207">
        <f>$J51+(($T51-$J51)/($T$50-$J$50))*(E$50-$J$50)</f>
        <v>0.26755000000000001</v>
      </c>
      <c r="F51" s="207">
        <f t="shared" ref="F51:S51" si="27">$J51+(($T51-$J51)/($T$50-$J$50))*(F$50-$J$50)</f>
        <v>0.25194</v>
      </c>
      <c r="G51" s="207">
        <f t="shared" si="27"/>
        <v>0.23633000000000001</v>
      </c>
      <c r="H51" s="207">
        <f t="shared" si="27"/>
        <v>0.22072</v>
      </c>
      <c r="I51" s="207">
        <f t="shared" si="27"/>
        <v>0.20511000000000001</v>
      </c>
      <c r="J51" s="232">
        <v>0.1895</v>
      </c>
      <c r="K51" s="207">
        <f t="shared" si="27"/>
        <v>0.17388999999999999</v>
      </c>
      <c r="L51" s="207">
        <f t="shared" si="27"/>
        <v>0.15828</v>
      </c>
      <c r="M51" s="207">
        <f t="shared" si="27"/>
        <v>0.14266999999999999</v>
      </c>
      <c r="N51" s="207">
        <f t="shared" si="27"/>
        <v>0.12706000000000001</v>
      </c>
      <c r="O51" s="207">
        <f t="shared" si="27"/>
        <v>0.11144999999999999</v>
      </c>
      <c r="P51" s="207">
        <f t="shared" si="27"/>
        <v>9.5839999999999981E-2</v>
      </c>
      <c r="Q51" s="207">
        <f t="shared" si="27"/>
        <v>8.0229999999999982E-2</v>
      </c>
      <c r="R51" s="207">
        <f t="shared" si="27"/>
        <v>6.4619999999999983E-2</v>
      </c>
      <c r="S51" s="207">
        <f t="shared" si="27"/>
        <v>4.900999999999997E-2</v>
      </c>
      <c r="T51" s="232">
        <v>3.3399999999999999E-2</v>
      </c>
      <c r="U51" s="207">
        <f t="shared" ref="U51:AC53" si="28">$T51+(($AD51-$T51)/($AD$50-$T$50))*(U$50-$T$50)</f>
        <v>3.0669999999999999E-2</v>
      </c>
      <c r="V51" s="207">
        <f t="shared" si="28"/>
        <v>2.794E-2</v>
      </c>
      <c r="W51" s="207">
        <f t="shared" si="28"/>
        <v>2.521E-2</v>
      </c>
      <c r="X51" s="207">
        <f t="shared" si="28"/>
        <v>2.248E-2</v>
      </c>
      <c r="Y51" s="207">
        <f t="shared" si="28"/>
        <v>1.975E-2</v>
      </c>
      <c r="Z51" s="207">
        <f t="shared" si="28"/>
        <v>1.702E-2</v>
      </c>
      <c r="AA51" s="207">
        <f t="shared" si="28"/>
        <v>1.4290000000000001E-2</v>
      </c>
      <c r="AB51" s="207">
        <f t="shared" si="28"/>
        <v>1.1560000000000001E-2</v>
      </c>
      <c r="AC51" s="207">
        <f t="shared" si="28"/>
        <v>8.830000000000001E-3</v>
      </c>
      <c r="AD51" s="232">
        <v>6.1000000000000004E-3</v>
      </c>
      <c r="AE51" s="207">
        <f>$AD51+(($AN51-$AD51)/($AN$50-$AD$50))*(AE$50-$AD$50)</f>
        <v>5.8700000000000002E-3</v>
      </c>
      <c r="AF51" s="207">
        <f t="shared" ref="AF51:AS51" si="29">$AD51+(($AN51-$AD51)/($AN$50-$AD$50))*(AF$50-$AD$50)</f>
        <v>5.64E-3</v>
      </c>
      <c r="AG51" s="207">
        <f t="shared" si="29"/>
        <v>5.4099999999999999E-3</v>
      </c>
      <c r="AH51" s="207">
        <f t="shared" si="29"/>
        <v>5.1800000000000006E-3</v>
      </c>
      <c r="AI51" s="207">
        <f t="shared" si="29"/>
        <v>4.9500000000000004E-3</v>
      </c>
      <c r="AJ51" s="207">
        <f t="shared" si="29"/>
        <v>4.7200000000000002E-3</v>
      </c>
      <c r="AK51" s="207">
        <f t="shared" si="29"/>
        <v>4.4900000000000001E-3</v>
      </c>
      <c r="AL51" s="207">
        <f t="shared" si="29"/>
        <v>4.2599999999999999E-3</v>
      </c>
      <c r="AM51" s="207">
        <f t="shared" si="29"/>
        <v>4.0300000000000006E-3</v>
      </c>
      <c r="AN51" s="232">
        <v>3.8E-3</v>
      </c>
      <c r="AO51" s="207">
        <f t="shared" si="29"/>
        <v>3.5699999999999998E-3</v>
      </c>
      <c r="AP51" s="207">
        <f t="shared" si="29"/>
        <v>3.3400000000000001E-3</v>
      </c>
      <c r="AQ51" s="207">
        <f t="shared" si="29"/>
        <v>3.1099999999999999E-3</v>
      </c>
      <c r="AR51" s="207">
        <f t="shared" si="29"/>
        <v>2.8799999999999997E-3</v>
      </c>
      <c r="AS51" s="207">
        <f t="shared" si="29"/>
        <v>2.65E-3</v>
      </c>
    </row>
    <row r="52" spans="1:45">
      <c r="B52"/>
      <c r="C52"/>
      <c r="D52" t="s">
        <v>257</v>
      </c>
      <c r="E52" s="207">
        <f>$J52+(($T52-$J52)/($T$50-$J$50))*(E$50-$J$50)</f>
        <v>7.0000000000000001E-3</v>
      </c>
      <c r="F52" s="207">
        <f t="shared" ref="F52:I53" si="30">$J52+(($T52-$J52)/($T$50-$J$50))*(F$50-$J$50)</f>
        <v>6.8599999999999998E-3</v>
      </c>
      <c r="G52" s="207">
        <f t="shared" si="30"/>
        <v>6.7200000000000003E-3</v>
      </c>
      <c r="H52" s="207">
        <f t="shared" si="30"/>
        <v>6.5799999999999999E-3</v>
      </c>
      <c r="I52" s="207">
        <f t="shared" si="30"/>
        <v>6.4400000000000004E-3</v>
      </c>
      <c r="J52" s="232">
        <v>6.3E-3</v>
      </c>
      <c r="K52" s="207">
        <f t="shared" ref="K52:S53" si="31">$J52+(($T52-$J52)/($T$50-$J$50))*(K$50-$J$50)</f>
        <v>6.1599999999999997E-3</v>
      </c>
      <c r="L52" s="207">
        <f t="shared" si="31"/>
        <v>6.0200000000000002E-3</v>
      </c>
      <c r="M52" s="207">
        <f t="shared" si="31"/>
        <v>5.8799999999999998E-3</v>
      </c>
      <c r="N52" s="207">
        <f t="shared" si="31"/>
        <v>5.7400000000000003E-3</v>
      </c>
      <c r="O52" s="207">
        <f t="shared" si="31"/>
        <v>5.5999999999999999E-3</v>
      </c>
      <c r="P52" s="207">
        <f t="shared" si="31"/>
        <v>5.4599999999999996E-3</v>
      </c>
      <c r="Q52" s="207">
        <f t="shared" si="31"/>
        <v>5.3200000000000001E-3</v>
      </c>
      <c r="R52" s="207">
        <f t="shared" si="31"/>
        <v>5.1799999999999997E-3</v>
      </c>
      <c r="S52" s="207">
        <f t="shared" si="31"/>
        <v>5.0400000000000002E-3</v>
      </c>
      <c r="T52" s="232">
        <v>4.8999999999999998E-3</v>
      </c>
      <c r="U52" s="207">
        <f t="shared" si="28"/>
        <v>4.8599999999999997E-3</v>
      </c>
      <c r="V52" s="207">
        <f t="shared" si="28"/>
        <v>4.8199999999999996E-3</v>
      </c>
      <c r="W52" s="207">
        <f t="shared" si="28"/>
        <v>4.7799999999999995E-3</v>
      </c>
      <c r="X52" s="207">
        <f t="shared" si="28"/>
        <v>4.7399999999999994E-3</v>
      </c>
      <c r="Y52" s="207">
        <f t="shared" si="28"/>
        <v>4.6999999999999993E-3</v>
      </c>
      <c r="Z52" s="207">
        <f t="shared" si="28"/>
        <v>4.6600000000000001E-3</v>
      </c>
      <c r="AA52" s="207">
        <f t="shared" si="28"/>
        <v>4.62E-3</v>
      </c>
      <c r="AB52" s="207">
        <f t="shared" si="28"/>
        <v>4.5799999999999999E-3</v>
      </c>
      <c r="AC52" s="207">
        <f t="shared" si="28"/>
        <v>4.5399999999999998E-3</v>
      </c>
      <c r="AD52" s="232">
        <v>4.4999999999999997E-3</v>
      </c>
      <c r="AE52" s="207">
        <f>$AD52+(($AN52-$AD52)/($AN$50-$AD$50))*(AE$50-$AD$50)</f>
        <v>4.4900000000000001E-3</v>
      </c>
      <c r="AF52" s="207">
        <f t="shared" ref="AF52:AM53" si="32">$AD52+(($AN52-$AD52)/($AN$50-$AD$50))*(AF$50-$AD$50)</f>
        <v>4.4799999999999996E-3</v>
      </c>
      <c r="AG52" s="207">
        <f t="shared" si="32"/>
        <v>4.47E-3</v>
      </c>
      <c r="AH52" s="207">
        <f t="shared" si="32"/>
        <v>4.4599999999999996E-3</v>
      </c>
      <c r="AI52" s="207">
        <f t="shared" si="32"/>
        <v>4.45E-3</v>
      </c>
      <c r="AJ52" s="207">
        <f t="shared" si="32"/>
        <v>4.4400000000000004E-3</v>
      </c>
      <c r="AK52" s="207">
        <f t="shared" si="32"/>
        <v>4.4299999999999999E-3</v>
      </c>
      <c r="AL52" s="207">
        <f t="shared" si="32"/>
        <v>4.4200000000000003E-3</v>
      </c>
      <c r="AM52" s="207">
        <f t="shared" si="32"/>
        <v>4.4099999999999999E-3</v>
      </c>
      <c r="AN52" s="232">
        <v>4.4000000000000003E-3</v>
      </c>
      <c r="AO52" s="207">
        <f t="shared" ref="AO52:AS53" si="33">$AD52+(($AN52-$AD52)/($AN$50-$AD$50))*(AO$50-$AD$50)</f>
        <v>4.3900000000000007E-3</v>
      </c>
      <c r="AP52" s="207">
        <f t="shared" si="33"/>
        <v>4.3800000000000002E-3</v>
      </c>
      <c r="AQ52" s="207">
        <f t="shared" si="33"/>
        <v>4.3700000000000006E-3</v>
      </c>
      <c r="AR52" s="207">
        <f t="shared" si="33"/>
        <v>4.3600000000000002E-3</v>
      </c>
      <c r="AS52" s="207">
        <f t="shared" si="33"/>
        <v>4.3500000000000006E-3</v>
      </c>
    </row>
    <row r="53" spans="1:45">
      <c r="B53"/>
      <c r="C53"/>
      <c r="D53" t="s">
        <v>102</v>
      </c>
      <c r="E53" s="207">
        <f>$J53+(($T53-$J53)/($T$50-$J$50))*(E$50-$J$50)</f>
        <v>5.850000000000001E-3</v>
      </c>
      <c r="F53" s="207">
        <f t="shared" si="30"/>
        <v>5.7000000000000002E-3</v>
      </c>
      <c r="G53" s="207">
        <f t="shared" si="30"/>
        <v>5.5500000000000002E-3</v>
      </c>
      <c r="H53" s="207">
        <f t="shared" si="30"/>
        <v>5.4000000000000003E-3</v>
      </c>
      <c r="I53" s="207">
        <f t="shared" si="30"/>
        <v>5.2500000000000003E-3</v>
      </c>
      <c r="J53" s="232">
        <v>5.1000000000000004E-3</v>
      </c>
      <c r="K53" s="207">
        <f t="shared" si="31"/>
        <v>4.9500000000000004E-3</v>
      </c>
      <c r="L53" s="207">
        <f t="shared" si="31"/>
        <v>4.8000000000000004E-3</v>
      </c>
      <c r="M53" s="207">
        <f t="shared" si="31"/>
        <v>4.6500000000000005E-3</v>
      </c>
      <c r="N53" s="207">
        <f t="shared" si="31"/>
        <v>4.5000000000000005E-3</v>
      </c>
      <c r="O53" s="207">
        <f t="shared" si="31"/>
        <v>4.3499999999999997E-3</v>
      </c>
      <c r="P53" s="207">
        <f t="shared" si="31"/>
        <v>4.2000000000000006E-3</v>
      </c>
      <c r="Q53" s="207">
        <f t="shared" si="31"/>
        <v>4.0499999999999998E-3</v>
      </c>
      <c r="R53" s="207">
        <f t="shared" si="31"/>
        <v>3.8999999999999998E-3</v>
      </c>
      <c r="S53" s="207">
        <f t="shared" si="31"/>
        <v>3.7499999999999999E-3</v>
      </c>
      <c r="T53" s="232">
        <v>3.5999999999999999E-3</v>
      </c>
      <c r="U53" s="207">
        <f t="shared" si="28"/>
        <v>3.5299999999999997E-3</v>
      </c>
      <c r="V53" s="207">
        <f t="shared" si="28"/>
        <v>3.46E-3</v>
      </c>
      <c r="W53" s="207">
        <f t="shared" si="28"/>
        <v>3.3899999999999998E-3</v>
      </c>
      <c r="X53" s="207">
        <f t="shared" si="28"/>
        <v>3.32E-3</v>
      </c>
      <c r="Y53" s="207">
        <f t="shared" si="28"/>
        <v>3.2499999999999999E-3</v>
      </c>
      <c r="Z53" s="207">
        <f t="shared" si="28"/>
        <v>3.1799999999999997E-3</v>
      </c>
      <c r="AA53" s="207">
        <f t="shared" si="28"/>
        <v>3.1099999999999999E-3</v>
      </c>
      <c r="AB53" s="207">
        <f t="shared" si="28"/>
        <v>3.0399999999999997E-3</v>
      </c>
      <c r="AC53" s="207">
        <f t="shared" si="28"/>
        <v>2.97E-3</v>
      </c>
      <c r="AD53" s="232">
        <v>2.8999999999999998E-3</v>
      </c>
      <c r="AE53" s="207">
        <f>$AD53+(($AN53-$AD53)/($AN$50-$AD$50))*(AE$50-$AD$50)</f>
        <v>2.8999999999999998E-3</v>
      </c>
      <c r="AF53" s="207">
        <f t="shared" si="32"/>
        <v>2.8999999999999998E-3</v>
      </c>
      <c r="AG53" s="207">
        <f t="shared" si="32"/>
        <v>2.8999999999999998E-3</v>
      </c>
      <c r="AH53" s="207">
        <f t="shared" si="32"/>
        <v>2.8999999999999998E-3</v>
      </c>
      <c r="AI53" s="207">
        <f t="shared" si="32"/>
        <v>2.8999999999999998E-3</v>
      </c>
      <c r="AJ53" s="207">
        <f t="shared" si="32"/>
        <v>2.8999999999999998E-3</v>
      </c>
      <c r="AK53" s="207">
        <f t="shared" si="32"/>
        <v>2.8999999999999998E-3</v>
      </c>
      <c r="AL53" s="207">
        <f t="shared" si="32"/>
        <v>2.8999999999999998E-3</v>
      </c>
      <c r="AM53" s="207">
        <f t="shared" si="32"/>
        <v>2.8999999999999998E-3</v>
      </c>
      <c r="AN53" s="232">
        <v>2.8999999999999998E-3</v>
      </c>
      <c r="AO53" s="207">
        <f t="shared" si="33"/>
        <v>2.8999999999999998E-3</v>
      </c>
      <c r="AP53" s="207">
        <f t="shared" si="33"/>
        <v>2.8999999999999998E-3</v>
      </c>
      <c r="AQ53" s="207">
        <f t="shared" si="33"/>
        <v>2.8999999999999998E-3</v>
      </c>
      <c r="AR53" s="207">
        <f t="shared" si="33"/>
        <v>2.8999999999999998E-3</v>
      </c>
      <c r="AS53" s="207">
        <f t="shared" si="33"/>
        <v>2.8999999999999998E-3</v>
      </c>
    </row>
    <row r="54" spans="1:45">
      <c r="U54" s="211"/>
      <c r="V54" s="211"/>
      <c r="W54" s="211"/>
      <c r="X54" s="211"/>
      <c r="Y54" s="211"/>
      <c r="Z54" s="211"/>
      <c r="AA54" s="211"/>
      <c r="AB54" s="211"/>
      <c r="AC54" s="211"/>
    </row>
    <row r="55" spans="1:45" ht="15">
      <c r="A55" s="31" t="s">
        <v>377</v>
      </c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</row>
    <row r="56" spans="1:45">
      <c r="B56"/>
      <c r="C56"/>
      <c r="D56"/>
      <c r="E56">
        <v>2015</v>
      </c>
      <c r="F56">
        <v>2016</v>
      </c>
      <c r="G56" s="22">
        <v>2017</v>
      </c>
      <c r="H56" s="22">
        <v>2018</v>
      </c>
      <c r="I56" s="22">
        <v>2019</v>
      </c>
      <c r="J56" s="22">
        <v>2020</v>
      </c>
      <c r="K56" s="22">
        <v>2021</v>
      </c>
      <c r="L56" s="22">
        <v>2022</v>
      </c>
      <c r="M56" s="22">
        <v>2023</v>
      </c>
      <c r="N56" s="22">
        <v>2024</v>
      </c>
      <c r="O56" s="22">
        <v>2025</v>
      </c>
      <c r="P56" s="22">
        <v>2026</v>
      </c>
      <c r="Q56" s="22">
        <v>2027</v>
      </c>
      <c r="R56" s="22">
        <v>2028</v>
      </c>
      <c r="S56" s="22">
        <v>2029</v>
      </c>
      <c r="T56" s="22">
        <v>2030</v>
      </c>
      <c r="U56" s="22">
        <v>2031</v>
      </c>
      <c r="V56" s="22">
        <v>2032</v>
      </c>
      <c r="W56" s="22">
        <v>2033</v>
      </c>
      <c r="X56" s="22">
        <v>2034</v>
      </c>
      <c r="Y56" s="22">
        <v>2035</v>
      </c>
      <c r="Z56" s="22">
        <v>2036</v>
      </c>
      <c r="AA56" s="22">
        <v>2037</v>
      </c>
      <c r="AB56" s="22">
        <v>2038</v>
      </c>
      <c r="AC56" s="22">
        <v>2039</v>
      </c>
      <c r="AD56" s="22">
        <v>2040</v>
      </c>
      <c r="AE56" s="22">
        <v>2041</v>
      </c>
      <c r="AF56" s="22">
        <v>2042</v>
      </c>
      <c r="AG56" s="22">
        <v>2043</v>
      </c>
      <c r="AH56" s="22">
        <v>2044</v>
      </c>
      <c r="AI56" s="22">
        <v>2045</v>
      </c>
      <c r="AJ56" s="22">
        <v>2046</v>
      </c>
      <c r="AK56" s="22">
        <v>2047</v>
      </c>
      <c r="AL56" s="22">
        <v>2048</v>
      </c>
      <c r="AM56" s="22">
        <v>2049</v>
      </c>
      <c r="AN56" s="22">
        <v>2050</v>
      </c>
      <c r="AO56" s="22">
        <v>2051</v>
      </c>
      <c r="AP56" s="22">
        <v>2052</v>
      </c>
      <c r="AQ56" s="22">
        <v>2053</v>
      </c>
      <c r="AR56" s="22">
        <v>2054</v>
      </c>
      <c r="AS56" s="22">
        <v>2055</v>
      </c>
    </row>
    <row r="57" spans="1:45">
      <c r="B57"/>
      <c r="C57"/>
      <c r="D57" s="211" t="s">
        <v>60</v>
      </c>
      <c r="E57" s="207">
        <f>$J57+(($T57-$J57)/($T$50-$J$50))*(E$50-$J$50)</f>
        <v>17.1555</v>
      </c>
      <c r="F57" s="207">
        <f t="shared" ref="F57:S57" si="34">$J57+(($T57-$J57)/($T$50-$J$50))*(F$50-$J$50)</f>
        <v>16.85144</v>
      </c>
      <c r="G57" s="207">
        <f t="shared" si="34"/>
        <v>16.54738</v>
      </c>
      <c r="H57" s="207">
        <f t="shared" si="34"/>
        <v>16.243320000000001</v>
      </c>
      <c r="I57" s="207">
        <f t="shared" si="34"/>
        <v>15.939259999999999</v>
      </c>
      <c r="J57" s="232">
        <v>15.635199999999999</v>
      </c>
      <c r="K57" s="207">
        <f t="shared" si="34"/>
        <v>15.33114</v>
      </c>
      <c r="L57" s="207">
        <f t="shared" si="34"/>
        <v>15.02708</v>
      </c>
      <c r="M57" s="207">
        <f t="shared" si="34"/>
        <v>14.72302</v>
      </c>
      <c r="N57" s="207">
        <f t="shared" si="34"/>
        <v>14.41896</v>
      </c>
      <c r="O57" s="207">
        <f t="shared" si="34"/>
        <v>14.114899999999999</v>
      </c>
      <c r="P57" s="207">
        <f t="shared" si="34"/>
        <v>13.810839999999999</v>
      </c>
      <c r="Q57" s="207">
        <f t="shared" si="34"/>
        <v>13.506779999999999</v>
      </c>
      <c r="R57" s="207">
        <f t="shared" si="34"/>
        <v>13.202719999999999</v>
      </c>
      <c r="S57" s="207">
        <f t="shared" si="34"/>
        <v>12.89866</v>
      </c>
      <c r="T57" s="232">
        <v>12.5946</v>
      </c>
      <c r="U57" s="207">
        <f t="shared" ref="U57:AC59" si="35">$T57+(($AD57-$T57)/($AD$50-$T$50))*(U$50-$T$50)</f>
        <v>12.540290000000001</v>
      </c>
      <c r="V57" s="207">
        <f t="shared" si="35"/>
        <v>12.48598</v>
      </c>
      <c r="W57" s="207">
        <f t="shared" si="35"/>
        <v>12.43167</v>
      </c>
      <c r="X57" s="207">
        <f t="shared" si="35"/>
        <v>12.377359999999999</v>
      </c>
      <c r="Y57" s="207">
        <f t="shared" si="35"/>
        <v>12.32305</v>
      </c>
      <c r="Z57" s="207">
        <f t="shared" si="35"/>
        <v>12.268740000000001</v>
      </c>
      <c r="AA57" s="207">
        <f t="shared" si="35"/>
        <v>12.21443</v>
      </c>
      <c r="AB57" s="207">
        <f t="shared" si="35"/>
        <v>12.160120000000001</v>
      </c>
      <c r="AC57" s="207">
        <f t="shared" si="35"/>
        <v>12.10581</v>
      </c>
      <c r="AD57" s="232">
        <v>12.051500000000001</v>
      </c>
      <c r="AE57" s="207">
        <f>$AD57+(($AN57-$AD57)/($AN$50-$AD$50))*(AE$50-$AD$50)</f>
        <v>12.042710000000001</v>
      </c>
      <c r="AF57" s="207">
        <f t="shared" ref="AF57:AS57" si="36">$AD57+(($AN57-$AD57)/($AN$50-$AD$50))*(AF$50-$AD$50)</f>
        <v>12.03392</v>
      </c>
      <c r="AG57" s="207">
        <f t="shared" si="36"/>
        <v>12.025130000000001</v>
      </c>
      <c r="AH57" s="207">
        <f t="shared" si="36"/>
        <v>12.01634</v>
      </c>
      <c r="AI57" s="207">
        <f t="shared" si="36"/>
        <v>12.00755</v>
      </c>
      <c r="AJ57" s="207">
        <f t="shared" si="36"/>
        <v>11.998760000000001</v>
      </c>
      <c r="AK57" s="207">
        <f t="shared" si="36"/>
        <v>11.98997</v>
      </c>
      <c r="AL57" s="207">
        <f t="shared" si="36"/>
        <v>11.98118</v>
      </c>
      <c r="AM57" s="207">
        <f t="shared" si="36"/>
        <v>11.972389999999999</v>
      </c>
      <c r="AN57" s="232">
        <v>11.9636</v>
      </c>
      <c r="AO57" s="207">
        <f t="shared" si="36"/>
        <v>11.95481</v>
      </c>
      <c r="AP57" s="207">
        <f t="shared" si="36"/>
        <v>11.946019999999999</v>
      </c>
      <c r="AQ57" s="207">
        <f t="shared" si="36"/>
        <v>11.93723</v>
      </c>
      <c r="AR57" s="207">
        <f t="shared" si="36"/>
        <v>11.928439999999998</v>
      </c>
      <c r="AS57" s="207">
        <f t="shared" si="36"/>
        <v>11.919649999999999</v>
      </c>
    </row>
    <row r="58" spans="1:45">
      <c r="B58"/>
      <c r="C58"/>
      <c r="D58" t="s">
        <v>257</v>
      </c>
      <c r="E58" s="207">
        <f>$J58+(($T58-$J58)/($T$50-$J$50))*(E$50-$J$50)</f>
        <v>1.175E-2</v>
      </c>
      <c r="F58" s="207">
        <f t="shared" ref="F58:I59" si="37">$J58+(($T58-$J58)/($T$50-$J$50))*(F$50-$J$50)</f>
        <v>1.158E-2</v>
      </c>
      <c r="G58" s="207">
        <f t="shared" si="37"/>
        <v>1.141E-2</v>
      </c>
      <c r="H58" s="207">
        <f t="shared" si="37"/>
        <v>1.124E-2</v>
      </c>
      <c r="I58" s="207">
        <f t="shared" si="37"/>
        <v>1.107E-2</v>
      </c>
      <c r="J58" s="232">
        <v>1.09E-2</v>
      </c>
      <c r="K58" s="207">
        <f t="shared" ref="K58:S59" si="38">$J58+(($T58-$J58)/($T$50-$J$50))*(K$50-$J$50)</f>
        <v>1.073E-2</v>
      </c>
      <c r="L58" s="207">
        <f t="shared" si="38"/>
        <v>1.056E-2</v>
      </c>
      <c r="M58" s="207">
        <f t="shared" si="38"/>
        <v>1.039E-2</v>
      </c>
      <c r="N58" s="207">
        <f t="shared" si="38"/>
        <v>1.022E-2</v>
      </c>
      <c r="O58" s="207">
        <f t="shared" si="38"/>
        <v>1.005E-2</v>
      </c>
      <c r="P58" s="207">
        <f t="shared" si="38"/>
        <v>9.8799999999999999E-3</v>
      </c>
      <c r="Q58" s="207">
        <f t="shared" si="38"/>
        <v>9.7099999999999999E-3</v>
      </c>
      <c r="R58" s="207">
        <f t="shared" si="38"/>
        <v>9.5399999999999999E-3</v>
      </c>
      <c r="S58" s="207">
        <f t="shared" si="38"/>
        <v>9.3699999999999999E-3</v>
      </c>
      <c r="T58" s="232">
        <v>9.1999999999999998E-3</v>
      </c>
      <c r="U58" s="207">
        <f t="shared" si="35"/>
        <v>9.1299999999999992E-3</v>
      </c>
      <c r="V58" s="207">
        <f t="shared" si="35"/>
        <v>9.0600000000000003E-3</v>
      </c>
      <c r="W58" s="207">
        <f t="shared" si="35"/>
        <v>8.9899999999999997E-3</v>
      </c>
      <c r="X58" s="207">
        <f t="shared" si="35"/>
        <v>8.9200000000000008E-3</v>
      </c>
      <c r="Y58" s="207">
        <f t="shared" si="35"/>
        <v>8.8500000000000002E-3</v>
      </c>
      <c r="Z58" s="207">
        <f t="shared" si="35"/>
        <v>8.7799999999999996E-3</v>
      </c>
      <c r="AA58" s="207">
        <f t="shared" si="35"/>
        <v>8.7100000000000007E-3</v>
      </c>
      <c r="AB58" s="207">
        <f t="shared" si="35"/>
        <v>8.6400000000000001E-3</v>
      </c>
      <c r="AC58" s="207">
        <f t="shared" si="35"/>
        <v>8.5700000000000012E-3</v>
      </c>
      <c r="AD58" s="232">
        <v>8.5000000000000006E-3</v>
      </c>
      <c r="AE58" s="207">
        <f>$AD58+(($AN58-$AD58)/($AN$50-$AD$50))*(AE$50-$AD$50)</f>
        <v>8.490000000000001E-3</v>
      </c>
      <c r="AF58" s="207">
        <f t="shared" ref="AF58:AM59" si="39">$AD58+(($AN58-$AD58)/($AN$50-$AD$50))*(AF$50-$AD$50)</f>
        <v>8.4799999999999997E-3</v>
      </c>
      <c r="AG58" s="207">
        <f t="shared" si="39"/>
        <v>8.4700000000000001E-3</v>
      </c>
      <c r="AH58" s="207">
        <f t="shared" si="39"/>
        <v>8.4600000000000005E-3</v>
      </c>
      <c r="AI58" s="207">
        <f t="shared" si="39"/>
        <v>8.4499999999999992E-3</v>
      </c>
      <c r="AJ58" s="207">
        <f t="shared" si="39"/>
        <v>8.4399999999999996E-3</v>
      </c>
      <c r="AK58" s="207">
        <f t="shared" si="39"/>
        <v>8.43E-3</v>
      </c>
      <c r="AL58" s="207">
        <f t="shared" si="39"/>
        <v>8.4200000000000004E-3</v>
      </c>
      <c r="AM58" s="207">
        <f t="shared" si="39"/>
        <v>8.4099999999999991E-3</v>
      </c>
      <c r="AN58" s="232">
        <v>8.3999999999999995E-3</v>
      </c>
      <c r="AO58" s="207">
        <f t="shared" ref="AO58:AS59" si="40">$AD58+(($AN58-$AD58)/($AN$50-$AD$50))*(AO$50-$AD$50)</f>
        <v>8.3899999999999999E-3</v>
      </c>
      <c r="AP58" s="207">
        <f t="shared" si="40"/>
        <v>8.3799999999999986E-3</v>
      </c>
      <c r="AQ58" s="207">
        <f t="shared" si="40"/>
        <v>8.369999999999999E-3</v>
      </c>
      <c r="AR58" s="207">
        <f t="shared" si="40"/>
        <v>8.3599999999999994E-3</v>
      </c>
      <c r="AS58" s="207">
        <f t="shared" si="40"/>
        <v>8.3499999999999998E-3</v>
      </c>
    </row>
    <row r="59" spans="1:45">
      <c r="B59"/>
      <c r="C59"/>
      <c r="D59" t="s">
        <v>102</v>
      </c>
      <c r="E59" s="207">
        <f>$J59+(($T59-$J59)/($T$50-$J$50))*(E$50-$J$50)</f>
        <v>0.42630000000000001</v>
      </c>
      <c r="F59" s="207">
        <f t="shared" si="37"/>
        <v>0.40340000000000004</v>
      </c>
      <c r="G59" s="207">
        <f t="shared" si="37"/>
        <v>0.38050000000000006</v>
      </c>
      <c r="H59" s="207">
        <f t="shared" si="37"/>
        <v>0.35760000000000003</v>
      </c>
      <c r="I59" s="207">
        <f t="shared" si="37"/>
        <v>0.3347</v>
      </c>
      <c r="J59" s="232">
        <v>0.31180000000000002</v>
      </c>
      <c r="K59" s="207">
        <f t="shared" si="38"/>
        <v>0.28890000000000005</v>
      </c>
      <c r="L59" s="207">
        <f t="shared" si="38"/>
        <v>0.26600000000000001</v>
      </c>
      <c r="M59" s="207">
        <f t="shared" si="38"/>
        <v>0.24310000000000001</v>
      </c>
      <c r="N59" s="207">
        <f t="shared" si="38"/>
        <v>0.22020000000000001</v>
      </c>
      <c r="O59" s="207">
        <f t="shared" si="38"/>
        <v>0.1973</v>
      </c>
      <c r="P59" s="207">
        <f t="shared" si="38"/>
        <v>0.1744</v>
      </c>
      <c r="Q59" s="207">
        <f t="shared" si="38"/>
        <v>0.1515</v>
      </c>
      <c r="R59" s="207">
        <f t="shared" si="38"/>
        <v>0.12859999999999999</v>
      </c>
      <c r="S59" s="207">
        <f t="shared" si="38"/>
        <v>0.10569999999999999</v>
      </c>
      <c r="T59" s="232">
        <v>8.2799999999999999E-2</v>
      </c>
      <c r="U59" s="207">
        <f t="shared" si="35"/>
        <v>7.9390000000000002E-2</v>
      </c>
      <c r="V59" s="207">
        <f t="shared" si="35"/>
        <v>7.5979999999999992E-2</v>
      </c>
      <c r="W59" s="207">
        <f t="shared" si="35"/>
        <v>7.2569999999999996E-2</v>
      </c>
      <c r="X59" s="207">
        <f t="shared" si="35"/>
        <v>6.9159999999999999E-2</v>
      </c>
      <c r="Y59" s="207">
        <f t="shared" si="35"/>
        <v>6.5750000000000003E-2</v>
      </c>
      <c r="Z59" s="207">
        <f t="shared" si="35"/>
        <v>6.234E-2</v>
      </c>
      <c r="AA59" s="207">
        <f t="shared" si="35"/>
        <v>5.8929999999999996E-2</v>
      </c>
      <c r="AB59" s="207">
        <f t="shared" si="35"/>
        <v>5.552E-2</v>
      </c>
      <c r="AC59" s="207">
        <f t="shared" si="35"/>
        <v>5.2110000000000004E-2</v>
      </c>
      <c r="AD59" s="232">
        <v>4.87E-2</v>
      </c>
      <c r="AE59" s="207">
        <f>$AD59+(($AN59-$AD59)/($AN$50-$AD$50))*(AE$50-$AD$50)</f>
        <v>4.8230000000000002E-2</v>
      </c>
      <c r="AF59" s="207">
        <f t="shared" si="39"/>
        <v>4.7759999999999997E-2</v>
      </c>
      <c r="AG59" s="207">
        <f t="shared" si="39"/>
        <v>4.7289999999999999E-2</v>
      </c>
      <c r="AH59" s="207">
        <f t="shared" si="39"/>
        <v>4.6820000000000001E-2</v>
      </c>
      <c r="AI59" s="207">
        <f t="shared" si="39"/>
        <v>4.6350000000000002E-2</v>
      </c>
      <c r="AJ59" s="207">
        <f t="shared" si="39"/>
        <v>4.5879999999999997E-2</v>
      </c>
      <c r="AK59" s="207">
        <f t="shared" si="39"/>
        <v>4.5409999999999999E-2</v>
      </c>
      <c r="AL59" s="207">
        <f t="shared" si="39"/>
        <v>4.4940000000000001E-2</v>
      </c>
      <c r="AM59" s="207">
        <f t="shared" si="39"/>
        <v>4.4469999999999996E-2</v>
      </c>
      <c r="AN59" s="232">
        <v>4.3999999999999997E-2</v>
      </c>
      <c r="AO59" s="207">
        <f t="shared" si="40"/>
        <v>4.3529999999999999E-2</v>
      </c>
      <c r="AP59" s="207">
        <f t="shared" si="40"/>
        <v>4.3060000000000001E-2</v>
      </c>
      <c r="AQ59" s="207">
        <f t="shared" si="40"/>
        <v>4.2589999999999996E-2</v>
      </c>
      <c r="AR59" s="207">
        <f t="shared" si="40"/>
        <v>4.2119999999999998E-2</v>
      </c>
      <c r="AS59" s="207">
        <f t="shared" si="40"/>
        <v>4.1649999999999993E-2</v>
      </c>
    </row>
    <row r="61" spans="1:45">
      <c r="B61"/>
      <c r="C61" t="s">
        <v>374</v>
      </c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</row>
    <row r="62" spans="1:45">
      <c r="B62"/>
      <c r="C62" t="s">
        <v>375</v>
      </c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  <row r="63" spans="1:45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</row>
    <row r="64" spans="1:45">
      <c r="B64"/>
      <c r="C64"/>
      <c r="D64" s="111" t="s">
        <v>92</v>
      </c>
      <c r="E64">
        <v>907184.74</v>
      </c>
      <c r="F64"/>
      <c r="G64" s="1"/>
      <c r="H64" s="1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</row>
  </sheetData>
  <pageMargins left="0.7" right="0.7" top="0.75" bottom="0.75" header="0.3" footer="0.3"/>
  <pageSetup paperSize="3" scale="5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>
    <tabColor theme="6"/>
  </sheetPr>
  <dimension ref="A1:AR172"/>
  <sheetViews>
    <sheetView topLeftCell="A116" zoomScaleNormal="100" workbookViewId="0">
      <pane xSplit="3" topLeftCell="U1" activePane="topRight" state="frozen"/>
      <selection activeCell="A4" sqref="A4"/>
      <selection pane="topRight" activeCell="C138" sqref="C138"/>
    </sheetView>
  </sheetViews>
  <sheetFormatPr baseColWidth="10" defaultColWidth="9.19921875" defaultRowHeight="13"/>
  <cols>
    <col min="1" max="2" width="3.3984375" style="1" customWidth="1"/>
    <col min="3" max="3" width="83.19921875" style="1" bestFit="1" customWidth="1"/>
    <col min="4" max="29" width="12" style="22" customWidth="1"/>
    <col min="30" max="43" width="12" style="1" customWidth="1"/>
    <col min="44" max="44" width="11.3984375" style="1" bestFit="1" customWidth="1"/>
    <col min="45" max="16384" width="9.19921875" style="1"/>
  </cols>
  <sheetData>
    <row r="1" spans="1:44" ht="20" thickBot="1">
      <c r="A1" s="19" t="str">
        <f>'BCA Summary'!A2&amp;" Traffic Calculations"</f>
        <v>US 85/120th Avenue Grade-Separation and Interchange Project Traffic Calculations</v>
      </c>
      <c r="B1" s="19"/>
      <c r="C1" s="19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</row>
    <row r="2" spans="1:44" ht="19" thickTop="1" thickBot="1">
      <c r="A2" s="2" t="str">
        <f>'BCA Summary'!A2</f>
        <v>US 85/120th Avenue Grade-Separation and Interchange Project</v>
      </c>
      <c r="B2" s="17"/>
      <c r="C2" s="17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</row>
    <row r="3" spans="1:44" ht="14" thickTop="1">
      <c r="A3" s="23"/>
      <c r="B3" s="23"/>
      <c r="C3" s="23"/>
    </row>
    <row r="4" spans="1:44" s="18" customFormat="1" ht="17">
      <c r="A4" s="24"/>
      <c r="B4" s="24"/>
      <c r="C4" s="24"/>
      <c r="D4" s="150">
        <f>'Summary of Benefits'!E4</f>
        <v>2015</v>
      </c>
      <c r="E4" s="150">
        <f>'Summary of Benefits'!F4</f>
        <v>2016</v>
      </c>
      <c r="F4" s="150">
        <f>'Summary of Benefits'!G4</f>
        <v>2017</v>
      </c>
      <c r="G4" s="150">
        <f>'Summary of Benefits'!H4</f>
        <v>2018</v>
      </c>
      <c r="H4" s="150">
        <f>'Summary of Benefits'!I4</f>
        <v>2019</v>
      </c>
      <c r="I4" s="150">
        <f>'Summary of Benefits'!J4</f>
        <v>2020</v>
      </c>
      <c r="J4" s="150">
        <f>'Summary of Benefits'!K4</f>
        <v>2021</v>
      </c>
      <c r="K4" s="150">
        <f>'Summary of Benefits'!L4</f>
        <v>2022</v>
      </c>
      <c r="L4" s="150">
        <f>'Summary of Benefits'!M4</f>
        <v>2023</v>
      </c>
      <c r="M4" s="150">
        <f>'Summary of Benefits'!N4</f>
        <v>2024</v>
      </c>
      <c r="N4" s="150">
        <f>'Summary of Benefits'!O4</f>
        <v>2025</v>
      </c>
      <c r="O4" s="150">
        <f>'Summary of Benefits'!P4</f>
        <v>2026</v>
      </c>
      <c r="P4" s="150">
        <f>'Summary of Benefits'!Q4</f>
        <v>2027</v>
      </c>
      <c r="Q4" s="150">
        <f>'Summary of Benefits'!R4</f>
        <v>2028</v>
      </c>
      <c r="R4" s="150">
        <f>'Summary of Benefits'!S4</f>
        <v>2029</v>
      </c>
      <c r="S4" s="150">
        <f>'Summary of Benefits'!T4</f>
        <v>2030</v>
      </c>
      <c r="T4" s="150">
        <f>'Summary of Benefits'!U4</f>
        <v>2031</v>
      </c>
      <c r="U4" s="150">
        <f>'Summary of Benefits'!V4</f>
        <v>2032</v>
      </c>
      <c r="V4" s="150">
        <f>'Summary of Benefits'!W4</f>
        <v>2033</v>
      </c>
      <c r="W4" s="150">
        <f>'Summary of Benefits'!X4</f>
        <v>2034</v>
      </c>
      <c r="X4" s="150">
        <f>'Summary of Benefits'!Y4</f>
        <v>2035</v>
      </c>
      <c r="Y4" s="150">
        <f>'Summary of Benefits'!Z4</f>
        <v>2036</v>
      </c>
      <c r="Z4" s="150">
        <f>'Summary of Benefits'!AA4</f>
        <v>2037</v>
      </c>
      <c r="AA4" s="150">
        <f>'Summary of Benefits'!AB4</f>
        <v>2038</v>
      </c>
      <c r="AB4" s="150">
        <f>'Summary of Benefits'!AC4</f>
        <v>2039</v>
      </c>
      <c r="AC4" s="150">
        <f>'Summary of Benefits'!AD4</f>
        <v>2040</v>
      </c>
      <c r="AD4" s="150">
        <f>'Summary of Benefits'!AE4</f>
        <v>2041</v>
      </c>
      <c r="AE4" s="150">
        <f>'Summary of Benefits'!AF4</f>
        <v>2042</v>
      </c>
      <c r="AF4" s="150">
        <f>'Summary of Benefits'!AG4</f>
        <v>2043</v>
      </c>
      <c r="AG4" s="150">
        <f>'Summary of Benefits'!AH4</f>
        <v>2044</v>
      </c>
      <c r="AH4" s="150">
        <f>'Summary of Benefits'!AI4</f>
        <v>2045</v>
      </c>
      <c r="AI4" s="150">
        <f>'Summary of Benefits'!AJ4</f>
        <v>2046</v>
      </c>
      <c r="AJ4" s="150">
        <f>'Summary of Benefits'!AK4</f>
        <v>2047</v>
      </c>
      <c r="AK4" s="150">
        <f>'Summary of Benefits'!AL4</f>
        <v>2048</v>
      </c>
      <c r="AL4" s="150">
        <f>'Summary of Benefits'!AM4</f>
        <v>2049</v>
      </c>
      <c r="AM4" s="150">
        <f>'Summary of Benefits'!AN4</f>
        <v>2050</v>
      </c>
      <c r="AN4" s="150">
        <f>'Summary of Benefits'!AO4</f>
        <v>2051</v>
      </c>
      <c r="AO4" s="150">
        <f>'Summary of Benefits'!AP4</f>
        <v>2052</v>
      </c>
      <c r="AP4" s="150">
        <f>'Summary of Benefits'!AQ4</f>
        <v>2053</v>
      </c>
      <c r="AQ4" s="150">
        <f>'Summary of Benefits'!AR4</f>
        <v>2054</v>
      </c>
      <c r="AR4" s="150">
        <f>'Summary of Benefits'!AS4</f>
        <v>2055</v>
      </c>
    </row>
    <row r="5" spans="1:44" ht="16" thickBot="1">
      <c r="A5" s="32" t="str">
        <f>'Timeline &amp; Costs'!A11</f>
        <v>US 85/120th Avenue Grade-Separation and Interchange Project</v>
      </c>
      <c r="B5" s="32"/>
      <c r="C5" s="32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</row>
    <row r="6" spans="1:44">
      <c r="B6" s="153" t="str">
        <f>"Baseline (No "&amp;'BCA Summary'!$E$1&amp;" Grant) Benefits"</f>
        <v>Baseline (No BUILD Grant Grant) Benefits</v>
      </c>
      <c r="C6" s="34"/>
      <c r="D6" s="35" t="str">
        <f>'Timeline &amp; Costs'!E$8</f>
        <v>No</v>
      </c>
      <c r="E6" s="35" t="str">
        <f>'Timeline &amp; Costs'!F$8</f>
        <v>No</v>
      </c>
      <c r="F6" s="35" t="str">
        <f>'Timeline &amp; Costs'!G$8</f>
        <v>No</v>
      </c>
      <c r="G6" s="35" t="str">
        <f>'Timeline &amp; Costs'!H$8</f>
        <v>No</v>
      </c>
      <c r="H6" s="35" t="str">
        <f>'Timeline &amp; Costs'!I$8</f>
        <v>No</v>
      </c>
      <c r="I6" s="35" t="str">
        <f>'Timeline &amp; Costs'!J$8</f>
        <v>No</v>
      </c>
      <c r="J6" s="35" t="str">
        <f>'Timeline &amp; Costs'!K$8</f>
        <v>No</v>
      </c>
      <c r="K6" s="35" t="str">
        <f>'Timeline &amp; Costs'!L$8</f>
        <v>No</v>
      </c>
      <c r="L6" s="35" t="str">
        <f>'Timeline &amp; Costs'!M$8</f>
        <v>No</v>
      </c>
      <c r="M6" s="35" t="str">
        <f>'Timeline &amp; Costs'!N$8</f>
        <v>No</v>
      </c>
      <c r="N6" s="35" t="str">
        <f>'Timeline &amp; Costs'!O$8</f>
        <v>No</v>
      </c>
      <c r="O6" s="35" t="str">
        <f>'Timeline &amp; Costs'!P$8</f>
        <v>No</v>
      </c>
      <c r="P6" s="35" t="str">
        <f>'Timeline &amp; Costs'!Q$8</f>
        <v>No</v>
      </c>
      <c r="Q6" s="35" t="str">
        <f>'Timeline &amp; Costs'!R$8</f>
        <v>No</v>
      </c>
      <c r="R6" s="35" t="str">
        <f>'Timeline &amp; Costs'!S$8</f>
        <v>No</v>
      </c>
      <c r="S6" s="35" t="str">
        <f>'Timeline &amp; Costs'!T$8</f>
        <v>No</v>
      </c>
      <c r="T6" s="35" t="str">
        <f>'Timeline &amp; Costs'!U$8</f>
        <v>No</v>
      </c>
      <c r="U6" s="35" t="str">
        <f>'Timeline &amp; Costs'!V$8</f>
        <v>No</v>
      </c>
      <c r="V6" s="35" t="str">
        <f>'Timeline &amp; Costs'!W$8</f>
        <v>No</v>
      </c>
      <c r="W6" s="35" t="str">
        <f>'Timeline &amp; Costs'!X$8</f>
        <v>No</v>
      </c>
      <c r="X6" s="35" t="str">
        <f>'Timeline &amp; Costs'!Y$8</f>
        <v>No</v>
      </c>
      <c r="Y6" s="35" t="str">
        <f>'Timeline &amp; Costs'!Z$8</f>
        <v>No</v>
      </c>
      <c r="Z6" s="35" t="str">
        <f>'Timeline &amp; Costs'!AA$8</f>
        <v>No</v>
      </c>
      <c r="AA6" s="35" t="str">
        <f>'Timeline &amp; Costs'!AB$8</f>
        <v>No</v>
      </c>
      <c r="AB6" s="35" t="str">
        <f>'Timeline &amp; Costs'!AC$8</f>
        <v>No</v>
      </c>
      <c r="AC6" s="35" t="str">
        <f>'Timeline &amp; Costs'!AD$8</f>
        <v>No</v>
      </c>
      <c r="AD6" s="35" t="str">
        <f>'Timeline &amp; Costs'!AE$8</f>
        <v>No</v>
      </c>
      <c r="AE6" s="35" t="str">
        <f>'Timeline &amp; Costs'!AF$8</f>
        <v>No</v>
      </c>
      <c r="AF6" s="35" t="str">
        <f>'Timeline &amp; Costs'!AG$8</f>
        <v>No</v>
      </c>
      <c r="AG6" s="35" t="str">
        <f>'Timeline &amp; Costs'!AH$8</f>
        <v>No</v>
      </c>
      <c r="AH6" s="35" t="str">
        <f>'Timeline &amp; Costs'!AI$8</f>
        <v>No</v>
      </c>
      <c r="AI6" s="35" t="str">
        <f>'Timeline &amp; Costs'!AJ$8</f>
        <v>No</v>
      </c>
      <c r="AJ6" s="35" t="str">
        <f>'Timeline &amp; Costs'!AK$8</f>
        <v>No</v>
      </c>
      <c r="AK6" s="35" t="str">
        <f>'Timeline &amp; Costs'!AL$8</f>
        <v>No</v>
      </c>
      <c r="AL6" s="35" t="str">
        <f>'Timeline &amp; Costs'!AM$8</f>
        <v>No</v>
      </c>
      <c r="AM6" s="35" t="str">
        <f>'Timeline &amp; Costs'!AN$8</f>
        <v>No</v>
      </c>
      <c r="AN6" s="35" t="str">
        <f>'Timeline &amp; Costs'!AO$8</f>
        <v>No</v>
      </c>
      <c r="AO6" s="35" t="str">
        <f>'Timeline &amp; Costs'!AP$8</f>
        <v>No</v>
      </c>
      <c r="AP6" s="35" t="str">
        <f>'Timeline &amp; Costs'!AQ$8</f>
        <v>No</v>
      </c>
      <c r="AQ6" s="35" t="str">
        <f>'Timeline &amp; Costs'!AR$8</f>
        <v>No</v>
      </c>
      <c r="AR6" s="35" t="str">
        <f>'Timeline &amp; Costs'!AS$8</f>
        <v>No</v>
      </c>
    </row>
    <row r="7" spans="1:44">
      <c r="B7" s="36" t="str">
        <f>"Preferred (With "&amp;'BCA Summary'!$E$1&amp;" Grant) Benefits"</f>
        <v>Preferred (With BUILD Grant Grant) Benefits</v>
      </c>
      <c r="C7" s="34"/>
      <c r="D7" s="35">
        <f>'Timeline &amp; Costs'!E17</f>
        <v>0</v>
      </c>
      <c r="E7" s="35">
        <f>'Timeline &amp; Costs'!F17</f>
        <v>0</v>
      </c>
      <c r="F7" s="35">
        <f>'Timeline &amp; Costs'!G17</f>
        <v>0</v>
      </c>
      <c r="G7" s="35" t="str">
        <f>'Timeline &amp; Costs'!H17</f>
        <v>No</v>
      </c>
      <c r="H7" s="35" t="str">
        <f>'Timeline &amp; Costs'!I17</f>
        <v>No</v>
      </c>
      <c r="I7" s="35" t="str">
        <f>'Timeline &amp; Costs'!J17</f>
        <v>No</v>
      </c>
      <c r="J7" s="35" t="str">
        <f>'Timeline &amp; Costs'!K17</f>
        <v>No</v>
      </c>
      <c r="K7" s="35" t="str">
        <f>'Timeline &amp; Costs'!L17</f>
        <v>No</v>
      </c>
      <c r="L7" s="35" t="str">
        <f>'Timeline &amp; Costs'!M17</f>
        <v>No</v>
      </c>
      <c r="M7" s="35" t="str">
        <f>'Timeline &amp; Costs'!N17</f>
        <v>No</v>
      </c>
      <c r="N7" s="35" t="str">
        <f>'Timeline &amp; Costs'!O17</f>
        <v>No</v>
      </c>
      <c r="O7" s="35" t="str">
        <f>'Timeline &amp; Costs'!P17</f>
        <v>No</v>
      </c>
      <c r="P7" s="35" t="str">
        <f>'Timeline &amp; Costs'!Q17</f>
        <v>No</v>
      </c>
      <c r="Q7" s="35" t="str">
        <f>'Timeline &amp; Costs'!R17</f>
        <v>No</v>
      </c>
      <c r="R7" s="35" t="str">
        <f>'Timeline &amp; Costs'!S17</f>
        <v>No</v>
      </c>
      <c r="S7" s="35" t="str">
        <f>'Timeline &amp; Costs'!T17</f>
        <v>Yes</v>
      </c>
      <c r="T7" s="35" t="str">
        <f>'Timeline &amp; Costs'!U17</f>
        <v>Yes</v>
      </c>
      <c r="U7" s="35" t="str">
        <f>'Timeline &amp; Costs'!V17</f>
        <v>Yes</v>
      </c>
      <c r="V7" s="35" t="str">
        <f>'Timeline &amp; Costs'!W17</f>
        <v>Yes</v>
      </c>
      <c r="W7" s="35" t="str">
        <f>'Timeline &amp; Costs'!X17</f>
        <v>Yes</v>
      </c>
      <c r="X7" s="35" t="str">
        <f>'Timeline &amp; Costs'!Y17</f>
        <v>Yes</v>
      </c>
      <c r="Y7" s="35" t="str">
        <f>'Timeline &amp; Costs'!Z17</f>
        <v>Yes</v>
      </c>
      <c r="Z7" s="35" t="str">
        <f>'Timeline &amp; Costs'!AA17</f>
        <v>Yes</v>
      </c>
      <c r="AA7" s="35" t="str">
        <f>'Timeline &amp; Costs'!AB17</f>
        <v>Yes</v>
      </c>
      <c r="AB7" s="35" t="str">
        <f>'Timeline &amp; Costs'!AC17</f>
        <v>Yes</v>
      </c>
      <c r="AC7" s="35" t="str">
        <f>'Timeline &amp; Costs'!AD17</f>
        <v>Yes</v>
      </c>
      <c r="AD7" s="35" t="str">
        <f>'Timeline &amp; Costs'!AE17</f>
        <v>Yes</v>
      </c>
      <c r="AE7" s="35" t="str">
        <f>'Timeline &amp; Costs'!AF17</f>
        <v>Yes</v>
      </c>
      <c r="AF7" s="35" t="str">
        <f>'Timeline &amp; Costs'!AG17</f>
        <v>Yes</v>
      </c>
      <c r="AG7" s="35" t="str">
        <f>'Timeline &amp; Costs'!AH17</f>
        <v>Yes</v>
      </c>
      <c r="AH7" s="35" t="str">
        <f>'Timeline &amp; Costs'!AI17</f>
        <v>Yes</v>
      </c>
      <c r="AI7" s="35" t="str">
        <f>'Timeline &amp; Costs'!AJ17</f>
        <v>Yes</v>
      </c>
      <c r="AJ7" s="35" t="str">
        <f>'Timeline &amp; Costs'!AK17</f>
        <v>Yes</v>
      </c>
      <c r="AK7" s="35" t="str">
        <f>'Timeline &amp; Costs'!AL17</f>
        <v>Yes</v>
      </c>
      <c r="AL7" s="35" t="str">
        <f>'Timeline &amp; Costs'!AM17</f>
        <v>Yes</v>
      </c>
      <c r="AM7" s="35" t="str">
        <f>'Timeline &amp; Costs'!AN17</f>
        <v>Yes</v>
      </c>
      <c r="AN7" s="35" t="str">
        <f>'Timeline &amp; Costs'!AO17</f>
        <v>Yes</v>
      </c>
      <c r="AO7" s="35" t="str">
        <f>'Timeline &amp; Costs'!AP17</f>
        <v>Yes</v>
      </c>
      <c r="AP7" s="35" t="str">
        <f>'Timeline &amp; Costs'!AQ17</f>
        <v>Yes</v>
      </c>
      <c r="AQ7" s="35" t="str">
        <f>'Timeline &amp; Costs'!AR17</f>
        <v>Yes</v>
      </c>
      <c r="AR7" s="35" t="str">
        <f>'Timeline &amp; Costs'!AS17</f>
        <v>Yes</v>
      </c>
    </row>
    <row r="8" spans="1:44">
      <c r="B8" s="36"/>
      <c r="C8" s="34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</row>
    <row r="9" spans="1:44" ht="15">
      <c r="A9" s="31" t="s">
        <v>268</v>
      </c>
      <c r="B9" s="36"/>
      <c r="C9" s="34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</row>
    <row r="10" spans="1:44" s="23" customFormat="1">
      <c r="B10" s="23" t="s">
        <v>71</v>
      </c>
      <c r="D10" s="68"/>
      <c r="E10" s="68"/>
      <c r="F10" s="69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9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</row>
    <row r="11" spans="1:44">
      <c r="C11" s="90" t="s">
        <v>258</v>
      </c>
      <c r="D11" s="48">
        <f>$F11+(($AC11-$F11)/($AC$4-$F$4))*(D$4-$F$4)</f>
        <v>681.73913043478262</v>
      </c>
      <c r="E11" s="48">
        <f>$F11+(($AC11-$F11)/($AC$4-$F$4))*(E$4-$F$4)</f>
        <v>710.86956521739125</v>
      </c>
      <c r="F11" s="155">
        <v>740</v>
      </c>
      <c r="G11" s="48">
        <f>$F11+(($AC11-$F11)/($AC$4-$F$4))*(G$4-$F$4)</f>
        <v>769.13043478260875</v>
      </c>
      <c r="H11" s="48">
        <f t="shared" ref="H11:AE14" si="0">$F11+(($AC11-$F11)/($AC$4-$F$4))*(H$4-$F$4)</f>
        <v>798.26086956521738</v>
      </c>
      <c r="I11" s="48">
        <f t="shared" si="0"/>
        <v>827.39130434782612</v>
      </c>
      <c r="J11" s="48">
        <f t="shared" si="0"/>
        <v>856.52173913043475</v>
      </c>
      <c r="K11" s="48">
        <f t="shared" si="0"/>
        <v>885.6521739130435</v>
      </c>
      <c r="L11" s="48">
        <f t="shared" si="0"/>
        <v>914.78260869565224</v>
      </c>
      <c r="M11" s="48">
        <f t="shared" si="0"/>
        <v>943.91304347826087</v>
      </c>
      <c r="N11" s="48">
        <f t="shared" si="0"/>
        <v>973.04347826086951</v>
      </c>
      <c r="O11" s="48">
        <f t="shared" si="0"/>
        <v>1002.1739130434783</v>
      </c>
      <c r="P11" s="48">
        <f t="shared" si="0"/>
        <v>1031.304347826087</v>
      </c>
      <c r="Q11" s="48">
        <f t="shared" si="0"/>
        <v>1060.4347826086955</v>
      </c>
      <c r="R11" s="48">
        <f t="shared" si="0"/>
        <v>1089.5652173913045</v>
      </c>
      <c r="S11" s="48">
        <f t="shared" si="0"/>
        <v>1118.695652173913</v>
      </c>
      <c r="T11" s="48">
        <f t="shared" si="0"/>
        <v>1147.8260869565217</v>
      </c>
      <c r="U11" s="48">
        <f t="shared" si="0"/>
        <v>1176.9565217391305</v>
      </c>
      <c r="V11" s="48">
        <f t="shared" si="0"/>
        <v>1206.086956521739</v>
      </c>
      <c r="W11" s="48">
        <f t="shared" si="0"/>
        <v>1235.2173913043478</v>
      </c>
      <c r="X11" s="48">
        <f t="shared" si="0"/>
        <v>1264.3478260869565</v>
      </c>
      <c r="Y11" s="48">
        <f t="shared" si="0"/>
        <v>1293.4782608695652</v>
      </c>
      <c r="Z11" s="48">
        <f t="shared" si="0"/>
        <v>1322.608695652174</v>
      </c>
      <c r="AA11" s="48">
        <f t="shared" si="0"/>
        <v>1351.7391304347825</v>
      </c>
      <c r="AB11" s="48">
        <f t="shared" si="0"/>
        <v>1380.8695652173913</v>
      </c>
      <c r="AC11" s="155">
        <v>1410</v>
      </c>
      <c r="AD11" s="48">
        <f>$F11+(($AC11-$F11)/($AC$4-$F$4))*(AD$4-$F$4)</f>
        <v>1439.1304347826087</v>
      </c>
      <c r="AE11" s="48">
        <f t="shared" ref="AE11:AR14" si="1">$F11+(($AC11-$F11)/($AC$4-$F$4))*(AE$4-$F$4)</f>
        <v>1468.2608695652175</v>
      </c>
      <c r="AF11" s="48">
        <f t="shared" si="1"/>
        <v>1497.391304347826</v>
      </c>
      <c r="AG11" s="48">
        <f t="shared" si="1"/>
        <v>1526.5217391304348</v>
      </c>
      <c r="AH11" s="48">
        <f t="shared" si="1"/>
        <v>1555.6521739130435</v>
      </c>
      <c r="AI11" s="48">
        <f t="shared" si="1"/>
        <v>1584.782608695652</v>
      </c>
      <c r="AJ11" s="48">
        <f t="shared" si="1"/>
        <v>1613.913043478261</v>
      </c>
      <c r="AK11" s="48">
        <f t="shared" si="1"/>
        <v>1643.0434782608695</v>
      </c>
      <c r="AL11" s="48">
        <f t="shared" si="1"/>
        <v>1672.1739130434783</v>
      </c>
      <c r="AM11" s="48">
        <f t="shared" si="1"/>
        <v>1701.304347826087</v>
      </c>
      <c r="AN11" s="48">
        <f t="shared" si="1"/>
        <v>1730.4347826086955</v>
      </c>
      <c r="AO11" s="48">
        <f t="shared" si="1"/>
        <v>1759.5652173913045</v>
      </c>
      <c r="AP11" s="48">
        <f t="shared" si="1"/>
        <v>1788.695652173913</v>
      </c>
      <c r="AQ11" s="48">
        <f t="shared" si="1"/>
        <v>1817.8260869565217</v>
      </c>
      <c r="AR11" s="48">
        <f t="shared" si="1"/>
        <v>1846.9565217391305</v>
      </c>
    </row>
    <row r="12" spans="1:44">
      <c r="C12" s="90" t="s">
        <v>259</v>
      </c>
      <c r="D12" s="48">
        <f t="shared" ref="D12:S14" si="2">$F12+(($AC12-$F12)/($AC$4-$F$4))*(D$4-$F$4)</f>
        <v>858.695652173913</v>
      </c>
      <c r="E12" s="48">
        <f t="shared" si="2"/>
        <v>844.3478260869565</v>
      </c>
      <c r="F12" s="155">
        <v>830</v>
      </c>
      <c r="G12" s="48">
        <f t="shared" si="2"/>
        <v>815.6521739130435</v>
      </c>
      <c r="H12" s="48">
        <f t="shared" si="2"/>
        <v>801.304347826087</v>
      </c>
      <c r="I12" s="48">
        <f t="shared" si="2"/>
        <v>786.95652173913049</v>
      </c>
      <c r="J12" s="48">
        <f t="shared" si="2"/>
        <v>772.60869565217388</v>
      </c>
      <c r="K12" s="48">
        <f t="shared" si="2"/>
        <v>758.26086956521738</v>
      </c>
      <c r="L12" s="48">
        <f t="shared" si="2"/>
        <v>743.91304347826087</v>
      </c>
      <c r="M12" s="48">
        <f t="shared" si="2"/>
        <v>729.56521739130437</v>
      </c>
      <c r="N12" s="48">
        <f t="shared" si="2"/>
        <v>715.21739130434787</v>
      </c>
      <c r="O12" s="48">
        <f t="shared" si="2"/>
        <v>700.86956521739125</v>
      </c>
      <c r="P12" s="48">
        <f t="shared" si="2"/>
        <v>686.52173913043475</v>
      </c>
      <c r="Q12" s="48">
        <f t="shared" si="2"/>
        <v>672.17391304347825</v>
      </c>
      <c r="R12" s="48">
        <f t="shared" si="2"/>
        <v>657.82608695652175</v>
      </c>
      <c r="S12" s="48">
        <f t="shared" si="2"/>
        <v>643.47826086956525</v>
      </c>
      <c r="T12" s="48">
        <f t="shared" si="0"/>
        <v>629.13043478260875</v>
      </c>
      <c r="U12" s="48">
        <f t="shared" si="0"/>
        <v>614.78260869565224</v>
      </c>
      <c r="V12" s="48">
        <f t="shared" si="0"/>
        <v>600.43478260869563</v>
      </c>
      <c r="W12" s="48">
        <f t="shared" si="0"/>
        <v>586.08695652173913</v>
      </c>
      <c r="X12" s="48">
        <f t="shared" si="0"/>
        <v>571.73913043478262</v>
      </c>
      <c r="Y12" s="48">
        <f t="shared" si="0"/>
        <v>557.39130434782601</v>
      </c>
      <c r="Z12" s="48">
        <f t="shared" si="0"/>
        <v>543.04347826086951</v>
      </c>
      <c r="AA12" s="48">
        <f t="shared" si="0"/>
        <v>528.695652173913</v>
      </c>
      <c r="AB12" s="48">
        <f t="shared" si="0"/>
        <v>514.3478260869565</v>
      </c>
      <c r="AC12" s="155">
        <v>500</v>
      </c>
      <c r="AD12" s="48">
        <f t="shared" si="0"/>
        <v>485.6521739130435</v>
      </c>
      <c r="AE12" s="48">
        <f t="shared" si="0"/>
        <v>471.30434782608694</v>
      </c>
      <c r="AF12" s="48">
        <f t="shared" si="1"/>
        <v>456.95652173913044</v>
      </c>
      <c r="AG12" s="48">
        <f t="shared" si="1"/>
        <v>442.60869565217394</v>
      </c>
      <c r="AH12" s="48">
        <f t="shared" si="1"/>
        <v>428.26086956521738</v>
      </c>
      <c r="AI12" s="48">
        <f t="shared" si="1"/>
        <v>413.91304347826087</v>
      </c>
      <c r="AJ12" s="48">
        <f t="shared" si="1"/>
        <v>399.56521739130437</v>
      </c>
      <c r="AK12" s="48">
        <f t="shared" si="1"/>
        <v>385.21739130434781</v>
      </c>
      <c r="AL12" s="48">
        <f t="shared" si="1"/>
        <v>370.86956521739131</v>
      </c>
      <c r="AM12" s="48">
        <f t="shared" si="1"/>
        <v>356.52173913043481</v>
      </c>
      <c r="AN12" s="48">
        <f t="shared" si="1"/>
        <v>342.17391304347825</v>
      </c>
      <c r="AO12" s="48">
        <f t="shared" si="1"/>
        <v>327.82608695652175</v>
      </c>
      <c r="AP12" s="48">
        <f t="shared" si="1"/>
        <v>313.47826086956525</v>
      </c>
      <c r="AQ12" s="48">
        <f t="shared" si="1"/>
        <v>299.13043478260875</v>
      </c>
      <c r="AR12" s="48">
        <f t="shared" si="1"/>
        <v>284.78260869565213</v>
      </c>
    </row>
    <row r="13" spans="1:44">
      <c r="C13" s="90" t="s">
        <v>260</v>
      </c>
      <c r="D13" s="48">
        <f t="shared" si="2"/>
        <v>858.695652173913</v>
      </c>
      <c r="E13" s="48">
        <f t="shared" si="2"/>
        <v>864.3478260869565</v>
      </c>
      <c r="F13" s="155">
        <v>870</v>
      </c>
      <c r="G13" s="48">
        <f t="shared" si="2"/>
        <v>875.6521739130435</v>
      </c>
      <c r="H13" s="48">
        <f t="shared" si="0"/>
        <v>881.304347826087</v>
      </c>
      <c r="I13" s="48">
        <f t="shared" si="0"/>
        <v>886.95652173913049</v>
      </c>
      <c r="J13" s="48">
        <f t="shared" si="0"/>
        <v>892.60869565217388</v>
      </c>
      <c r="K13" s="48">
        <f t="shared" si="0"/>
        <v>898.26086956521738</v>
      </c>
      <c r="L13" s="48">
        <f t="shared" si="0"/>
        <v>903.91304347826087</v>
      </c>
      <c r="M13" s="48">
        <f t="shared" si="0"/>
        <v>909.56521739130437</v>
      </c>
      <c r="N13" s="48">
        <f t="shared" si="0"/>
        <v>915.21739130434787</v>
      </c>
      <c r="O13" s="48">
        <f t="shared" si="0"/>
        <v>920.86956521739125</v>
      </c>
      <c r="P13" s="48">
        <f t="shared" si="0"/>
        <v>926.52173913043475</v>
      </c>
      <c r="Q13" s="48">
        <f t="shared" si="0"/>
        <v>932.17391304347825</v>
      </c>
      <c r="R13" s="48">
        <f t="shared" si="0"/>
        <v>937.82608695652175</v>
      </c>
      <c r="S13" s="48">
        <f t="shared" si="0"/>
        <v>943.47826086956525</v>
      </c>
      <c r="T13" s="48">
        <f t="shared" si="0"/>
        <v>949.13043478260875</v>
      </c>
      <c r="U13" s="48">
        <f t="shared" si="0"/>
        <v>954.78260869565213</v>
      </c>
      <c r="V13" s="48">
        <f t="shared" si="0"/>
        <v>960.43478260869563</v>
      </c>
      <c r="W13" s="48">
        <f t="shared" si="0"/>
        <v>966.08695652173913</v>
      </c>
      <c r="X13" s="48">
        <f t="shared" si="0"/>
        <v>971.73913043478262</v>
      </c>
      <c r="Y13" s="48">
        <f t="shared" si="0"/>
        <v>977.39130434782612</v>
      </c>
      <c r="Z13" s="48">
        <f t="shared" si="0"/>
        <v>983.04347826086951</v>
      </c>
      <c r="AA13" s="48">
        <f t="shared" si="0"/>
        <v>988.695652173913</v>
      </c>
      <c r="AB13" s="48">
        <f t="shared" si="0"/>
        <v>994.3478260869565</v>
      </c>
      <c r="AC13" s="155">
        <v>1000</v>
      </c>
      <c r="AD13" s="48">
        <f t="shared" si="0"/>
        <v>1005.6521739130435</v>
      </c>
      <c r="AE13" s="48">
        <f t="shared" si="1"/>
        <v>1011.304347826087</v>
      </c>
      <c r="AF13" s="48">
        <f t="shared" si="1"/>
        <v>1016.9565217391305</v>
      </c>
      <c r="AG13" s="48">
        <f t="shared" si="1"/>
        <v>1022.6086956521739</v>
      </c>
      <c r="AH13" s="48">
        <f t="shared" si="1"/>
        <v>1028.2608695652175</v>
      </c>
      <c r="AI13" s="48">
        <f t="shared" si="1"/>
        <v>1033.913043478261</v>
      </c>
      <c r="AJ13" s="48">
        <f t="shared" si="1"/>
        <v>1039.5652173913043</v>
      </c>
      <c r="AK13" s="48">
        <f t="shared" si="1"/>
        <v>1045.2173913043478</v>
      </c>
      <c r="AL13" s="48">
        <f t="shared" si="1"/>
        <v>1050.8695652173913</v>
      </c>
      <c r="AM13" s="48">
        <f t="shared" si="1"/>
        <v>1056.5217391304348</v>
      </c>
      <c r="AN13" s="48">
        <f t="shared" si="1"/>
        <v>1062.1739130434783</v>
      </c>
      <c r="AO13" s="48">
        <f t="shared" si="1"/>
        <v>1067.8260869565217</v>
      </c>
      <c r="AP13" s="48">
        <f t="shared" si="1"/>
        <v>1073.4782608695652</v>
      </c>
      <c r="AQ13" s="48">
        <f t="shared" si="1"/>
        <v>1079.1304347826087</v>
      </c>
      <c r="AR13" s="48">
        <f t="shared" si="1"/>
        <v>1084.7826086956522</v>
      </c>
    </row>
    <row r="14" spans="1:44">
      <c r="C14" s="90" t="s">
        <v>261</v>
      </c>
      <c r="D14" s="48">
        <f t="shared" si="2"/>
        <v>899.56521739130437</v>
      </c>
      <c r="E14" s="48">
        <f t="shared" si="2"/>
        <v>944.78260869565213</v>
      </c>
      <c r="F14" s="155">
        <v>990</v>
      </c>
      <c r="G14" s="48">
        <f t="shared" si="2"/>
        <v>1035.2173913043478</v>
      </c>
      <c r="H14" s="48">
        <f t="shared" si="0"/>
        <v>1080.4347826086957</v>
      </c>
      <c r="I14" s="48">
        <f t="shared" si="0"/>
        <v>1125.6521739130435</v>
      </c>
      <c r="J14" s="48">
        <f t="shared" si="0"/>
        <v>1170.8695652173913</v>
      </c>
      <c r="K14" s="48">
        <f t="shared" si="0"/>
        <v>1216.086956521739</v>
      </c>
      <c r="L14" s="48">
        <f t="shared" si="0"/>
        <v>1261.304347826087</v>
      </c>
      <c r="M14" s="48">
        <f t="shared" si="0"/>
        <v>1306.5217391304348</v>
      </c>
      <c r="N14" s="48">
        <f t="shared" si="0"/>
        <v>1351.7391304347825</v>
      </c>
      <c r="O14" s="48">
        <f t="shared" si="0"/>
        <v>1396.9565217391305</v>
      </c>
      <c r="P14" s="48">
        <f t="shared" si="0"/>
        <v>1442.1739130434783</v>
      </c>
      <c r="Q14" s="48">
        <f t="shared" si="0"/>
        <v>1487.391304347826</v>
      </c>
      <c r="R14" s="48">
        <f t="shared" si="0"/>
        <v>1532.608695652174</v>
      </c>
      <c r="S14" s="48">
        <f t="shared" si="0"/>
        <v>1577.8260869565217</v>
      </c>
      <c r="T14" s="48">
        <f t="shared" si="0"/>
        <v>1623.0434782608695</v>
      </c>
      <c r="U14" s="48">
        <f t="shared" si="0"/>
        <v>1668.2608695652175</v>
      </c>
      <c r="V14" s="48">
        <f t="shared" si="0"/>
        <v>1713.4782608695652</v>
      </c>
      <c r="W14" s="48">
        <f t="shared" si="0"/>
        <v>1758.695652173913</v>
      </c>
      <c r="X14" s="48">
        <f t="shared" si="0"/>
        <v>1803.913043478261</v>
      </c>
      <c r="Y14" s="48">
        <f t="shared" si="0"/>
        <v>1849.1304347826087</v>
      </c>
      <c r="Z14" s="48">
        <f t="shared" si="0"/>
        <v>1894.3478260869565</v>
      </c>
      <c r="AA14" s="48">
        <f t="shared" si="0"/>
        <v>1939.5652173913045</v>
      </c>
      <c r="AB14" s="48">
        <f t="shared" si="0"/>
        <v>1984.7826086956522</v>
      </c>
      <c r="AC14" s="155">
        <v>2030</v>
      </c>
      <c r="AD14" s="48">
        <f t="shared" si="0"/>
        <v>2075.217391304348</v>
      </c>
      <c r="AE14" s="48">
        <f t="shared" si="1"/>
        <v>2120.434782608696</v>
      </c>
      <c r="AF14" s="48">
        <f t="shared" si="1"/>
        <v>2165.6521739130435</v>
      </c>
      <c r="AG14" s="48">
        <f t="shared" si="1"/>
        <v>2210.869565217391</v>
      </c>
      <c r="AH14" s="48">
        <f t="shared" si="1"/>
        <v>2256.086956521739</v>
      </c>
      <c r="AI14" s="48">
        <f t="shared" si="1"/>
        <v>2301.304347826087</v>
      </c>
      <c r="AJ14" s="48">
        <f t="shared" si="1"/>
        <v>2346.521739130435</v>
      </c>
      <c r="AK14" s="48">
        <f t="shared" si="1"/>
        <v>2391.739130434783</v>
      </c>
      <c r="AL14" s="48">
        <f t="shared" si="1"/>
        <v>2436.9565217391305</v>
      </c>
      <c r="AM14" s="48">
        <f t="shared" si="1"/>
        <v>2482.173913043478</v>
      </c>
      <c r="AN14" s="48">
        <f t="shared" si="1"/>
        <v>2527.391304347826</v>
      </c>
      <c r="AO14" s="48">
        <f t="shared" si="1"/>
        <v>2572.608695652174</v>
      </c>
      <c r="AP14" s="48">
        <f t="shared" si="1"/>
        <v>2617.826086956522</v>
      </c>
      <c r="AQ14" s="48">
        <f t="shared" si="1"/>
        <v>2663.04347826087</v>
      </c>
      <c r="AR14" s="48">
        <f t="shared" si="1"/>
        <v>2708.2608695652175</v>
      </c>
    </row>
    <row r="15" spans="1:44">
      <c r="B15" s="23" t="s">
        <v>70</v>
      </c>
      <c r="C15" s="23"/>
      <c r="D15" s="66"/>
      <c r="E15" s="66"/>
      <c r="F15" s="67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7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</row>
    <row r="16" spans="1:44" s="65" customFormat="1">
      <c r="C16" s="188" t="str">
        <f>C11</f>
        <v>EB Approach - 120th Avenue</v>
      </c>
      <c r="D16" s="65">
        <f>$F16+(($AC16-$F16)/($AC$4-$F$4))*(D$4-$F$4)</f>
        <v>34.869565217391305</v>
      </c>
      <c r="E16" s="65">
        <f>$F16+(($AC16-$F16)/($AC$4-$F$4))*(E$4-$F$4)</f>
        <v>44.434782608695656</v>
      </c>
      <c r="F16" s="156">
        <v>54</v>
      </c>
      <c r="G16" s="65">
        <f>$F16+(($AC16-$F16)/($AC$4-$F$4))*(G$4-$F$4)</f>
        <v>63.565217391304344</v>
      </c>
      <c r="H16" s="65">
        <f t="shared" ref="H16:AE21" si="3">$F16+(($AC16-$F16)/($AC$4-$F$4))*(H$4-$F$4)</f>
        <v>73.130434782608688</v>
      </c>
      <c r="I16" s="65">
        <f t="shared" si="3"/>
        <v>82.695652173913047</v>
      </c>
      <c r="J16" s="65">
        <f t="shared" si="3"/>
        <v>92.260869565217391</v>
      </c>
      <c r="K16" s="65">
        <f t="shared" si="3"/>
        <v>101.82608695652173</v>
      </c>
      <c r="L16" s="65">
        <f t="shared" si="3"/>
        <v>111.39130434782609</v>
      </c>
      <c r="M16" s="65">
        <f t="shared" si="3"/>
        <v>120.95652173913044</v>
      </c>
      <c r="N16" s="65">
        <f t="shared" si="3"/>
        <v>130.52173913043478</v>
      </c>
      <c r="O16" s="65">
        <f t="shared" si="3"/>
        <v>140.08695652173913</v>
      </c>
      <c r="P16" s="65">
        <f t="shared" si="3"/>
        <v>149.65217391304347</v>
      </c>
      <c r="Q16" s="65">
        <f t="shared" si="3"/>
        <v>159.21739130434781</v>
      </c>
      <c r="R16" s="65">
        <f t="shared" si="3"/>
        <v>168.78260869565219</v>
      </c>
      <c r="S16" s="65">
        <f t="shared" si="3"/>
        <v>178.3478260869565</v>
      </c>
      <c r="T16" s="65">
        <f t="shared" si="3"/>
        <v>187.91304347826087</v>
      </c>
      <c r="U16" s="65">
        <f t="shared" si="3"/>
        <v>197.47826086956522</v>
      </c>
      <c r="V16" s="65">
        <f t="shared" si="3"/>
        <v>207.04347826086956</v>
      </c>
      <c r="W16" s="65">
        <f t="shared" si="3"/>
        <v>216.60869565217391</v>
      </c>
      <c r="X16" s="65">
        <f t="shared" si="3"/>
        <v>226.17391304347825</v>
      </c>
      <c r="Y16" s="65">
        <f t="shared" si="3"/>
        <v>235.7391304347826</v>
      </c>
      <c r="Z16" s="65">
        <f t="shared" si="3"/>
        <v>245.30434782608694</v>
      </c>
      <c r="AA16" s="65">
        <f t="shared" si="3"/>
        <v>254.86956521739131</v>
      </c>
      <c r="AB16" s="65">
        <f t="shared" si="3"/>
        <v>264.43478260869563</v>
      </c>
      <c r="AC16" s="156">
        <v>274</v>
      </c>
      <c r="AD16" s="65">
        <f t="shared" si="3"/>
        <v>283.56521739130437</v>
      </c>
      <c r="AE16" s="65">
        <f t="shared" si="3"/>
        <v>293.13043478260869</v>
      </c>
      <c r="AF16" s="65">
        <f t="shared" ref="AE16:AR21" si="4">$F16+(($AC16-$F16)/($AC$4-$F$4))*(AF$4-$F$4)</f>
        <v>302.695652173913</v>
      </c>
      <c r="AG16" s="65">
        <f t="shared" si="4"/>
        <v>312.26086956521738</v>
      </c>
      <c r="AH16" s="65">
        <f t="shared" si="4"/>
        <v>321.82608695652175</v>
      </c>
      <c r="AI16" s="65">
        <f t="shared" si="4"/>
        <v>331.39130434782606</v>
      </c>
      <c r="AJ16" s="65">
        <f t="shared" si="4"/>
        <v>340.95652173913044</v>
      </c>
      <c r="AK16" s="65">
        <f t="shared" si="4"/>
        <v>350.52173913043475</v>
      </c>
      <c r="AL16" s="65">
        <f t="shared" si="4"/>
        <v>360.08695652173913</v>
      </c>
      <c r="AM16" s="65">
        <f t="shared" si="4"/>
        <v>369.6521739130435</v>
      </c>
      <c r="AN16" s="65">
        <f t="shared" si="4"/>
        <v>379.21739130434781</v>
      </c>
      <c r="AO16" s="65">
        <f t="shared" si="4"/>
        <v>388.78260869565219</v>
      </c>
      <c r="AP16" s="65">
        <f t="shared" si="4"/>
        <v>398.3478260869565</v>
      </c>
      <c r="AQ16" s="65">
        <f t="shared" si="4"/>
        <v>407.91304347826087</v>
      </c>
      <c r="AR16" s="65">
        <f t="shared" si="4"/>
        <v>417.47826086956519</v>
      </c>
    </row>
    <row r="17" spans="2:44" s="65" customFormat="1">
      <c r="C17" s="188" t="str">
        <f t="shared" ref="C17:C19" si="5">C12</f>
        <v>WB Approach - 120th Avenue</v>
      </c>
      <c r="D17" s="65">
        <f t="shared" ref="D17:S21" si="6">$F17+(($AC17-$F17)/($AC$4-$F$4))*(D$4-$F$4)</f>
        <v>44.04347826086957</v>
      </c>
      <c r="E17" s="65">
        <f t="shared" si="6"/>
        <v>46.321739130434786</v>
      </c>
      <c r="F17" s="156">
        <v>48.6</v>
      </c>
      <c r="G17" s="65">
        <f t="shared" si="6"/>
        <v>50.878260869565217</v>
      </c>
      <c r="H17" s="65">
        <f t="shared" si="6"/>
        <v>53.156521739130433</v>
      </c>
      <c r="I17" s="65">
        <f t="shared" si="6"/>
        <v>55.434782608695656</v>
      </c>
      <c r="J17" s="65">
        <f t="shared" si="6"/>
        <v>57.713043478260872</v>
      </c>
      <c r="K17" s="65">
        <f t="shared" si="6"/>
        <v>59.991304347826087</v>
      </c>
      <c r="L17" s="65">
        <f t="shared" si="6"/>
        <v>62.269565217391303</v>
      </c>
      <c r="M17" s="65">
        <f t="shared" si="6"/>
        <v>64.547826086956519</v>
      </c>
      <c r="N17" s="65">
        <f t="shared" si="6"/>
        <v>66.826086956521735</v>
      </c>
      <c r="O17" s="65">
        <f t="shared" si="6"/>
        <v>69.104347826086951</v>
      </c>
      <c r="P17" s="65">
        <f t="shared" si="6"/>
        <v>71.382608695652181</v>
      </c>
      <c r="Q17" s="65">
        <f t="shared" si="6"/>
        <v>73.660869565217382</v>
      </c>
      <c r="R17" s="65">
        <f t="shared" si="6"/>
        <v>75.939130434782612</v>
      </c>
      <c r="S17" s="65">
        <f t="shared" si="6"/>
        <v>78.217391304347828</v>
      </c>
      <c r="T17" s="65">
        <f t="shared" si="3"/>
        <v>80.495652173913044</v>
      </c>
      <c r="U17" s="65">
        <f t="shared" si="3"/>
        <v>82.77391304347826</v>
      </c>
      <c r="V17" s="65">
        <f t="shared" si="3"/>
        <v>85.052173913043475</v>
      </c>
      <c r="W17" s="65">
        <f t="shared" si="3"/>
        <v>87.330434782608691</v>
      </c>
      <c r="X17" s="65">
        <f t="shared" si="3"/>
        <v>89.608695652173907</v>
      </c>
      <c r="Y17" s="65">
        <f t="shared" si="3"/>
        <v>91.886956521739137</v>
      </c>
      <c r="Z17" s="65">
        <f t="shared" si="3"/>
        <v>94.165217391304338</v>
      </c>
      <c r="AA17" s="65">
        <f t="shared" si="3"/>
        <v>96.443478260869568</v>
      </c>
      <c r="AB17" s="65">
        <f t="shared" si="3"/>
        <v>98.72173913043477</v>
      </c>
      <c r="AC17" s="156">
        <v>101</v>
      </c>
      <c r="AD17" s="65">
        <f t="shared" si="3"/>
        <v>103.2782608695652</v>
      </c>
      <c r="AE17" s="65">
        <f t="shared" si="4"/>
        <v>105.55652173913043</v>
      </c>
      <c r="AF17" s="65">
        <f t="shared" si="4"/>
        <v>107.83478260869565</v>
      </c>
      <c r="AG17" s="65">
        <f t="shared" si="4"/>
        <v>110.11304347826086</v>
      </c>
      <c r="AH17" s="65">
        <f t="shared" si="4"/>
        <v>112.39130434782608</v>
      </c>
      <c r="AI17" s="65">
        <f t="shared" si="4"/>
        <v>114.66956521739129</v>
      </c>
      <c r="AJ17" s="65">
        <f t="shared" si="4"/>
        <v>116.94782608695652</v>
      </c>
      <c r="AK17" s="65">
        <f t="shared" si="4"/>
        <v>119.22608695652173</v>
      </c>
      <c r="AL17" s="65">
        <f t="shared" si="4"/>
        <v>121.50434782608696</v>
      </c>
      <c r="AM17" s="65">
        <f t="shared" si="4"/>
        <v>123.78260869565216</v>
      </c>
      <c r="AN17" s="65">
        <f t="shared" si="4"/>
        <v>126.06086956521739</v>
      </c>
      <c r="AO17" s="65">
        <f t="shared" si="4"/>
        <v>128.33913043478259</v>
      </c>
      <c r="AP17" s="65">
        <f t="shared" si="4"/>
        <v>130.61739130434782</v>
      </c>
      <c r="AQ17" s="65">
        <f t="shared" si="4"/>
        <v>132.89565217391302</v>
      </c>
      <c r="AR17" s="65">
        <f t="shared" si="4"/>
        <v>135.17391304347825</v>
      </c>
    </row>
    <row r="18" spans="2:44" s="65" customFormat="1">
      <c r="C18" s="188" t="str">
        <f t="shared" si="5"/>
        <v>NB Approach - US 85</v>
      </c>
      <c r="D18" s="65">
        <f t="shared" si="6"/>
        <v>29.130434782608695</v>
      </c>
      <c r="E18" s="65">
        <f t="shared" si="6"/>
        <v>30.365217391304348</v>
      </c>
      <c r="F18" s="156">
        <v>31.6</v>
      </c>
      <c r="G18" s="65">
        <f t="shared" si="6"/>
        <v>32.834782608695654</v>
      </c>
      <c r="H18" s="65">
        <f t="shared" si="3"/>
        <v>34.069565217391307</v>
      </c>
      <c r="I18" s="65">
        <f t="shared" si="3"/>
        <v>35.304347826086961</v>
      </c>
      <c r="J18" s="65">
        <f t="shared" si="3"/>
        <v>36.539130434782606</v>
      </c>
      <c r="K18" s="65">
        <f t="shared" si="3"/>
        <v>37.77391304347826</v>
      </c>
      <c r="L18" s="65">
        <f t="shared" si="3"/>
        <v>39.008695652173913</v>
      </c>
      <c r="M18" s="65">
        <f t="shared" si="3"/>
        <v>40.243478260869566</v>
      </c>
      <c r="N18" s="65">
        <f t="shared" si="3"/>
        <v>41.478260869565219</v>
      </c>
      <c r="O18" s="65">
        <f t="shared" si="3"/>
        <v>42.713043478260872</v>
      </c>
      <c r="P18" s="65">
        <f t="shared" si="3"/>
        <v>43.947826086956525</v>
      </c>
      <c r="Q18" s="65">
        <f t="shared" si="3"/>
        <v>45.182608695652178</v>
      </c>
      <c r="R18" s="65">
        <f t="shared" si="3"/>
        <v>46.417391304347831</v>
      </c>
      <c r="S18" s="65">
        <f t="shared" si="3"/>
        <v>47.652173913043484</v>
      </c>
      <c r="T18" s="65">
        <f t="shared" si="3"/>
        <v>48.88695652173913</v>
      </c>
      <c r="U18" s="65">
        <f t="shared" si="3"/>
        <v>50.121739130434783</v>
      </c>
      <c r="V18" s="65">
        <f t="shared" si="3"/>
        <v>51.356521739130436</v>
      </c>
      <c r="W18" s="65">
        <f t="shared" si="3"/>
        <v>52.591304347826089</v>
      </c>
      <c r="X18" s="65">
        <f t="shared" si="3"/>
        <v>53.826086956521742</v>
      </c>
      <c r="Y18" s="65">
        <f t="shared" si="3"/>
        <v>55.060869565217388</v>
      </c>
      <c r="Z18" s="65">
        <f t="shared" si="3"/>
        <v>56.295652173913041</v>
      </c>
      <c r="AA18" s="65">
        <f t="shared" si="3"/>
        <v>57.530434782608694</v>
      </c>
      <c r="AB18" s="65">
        <f t="shared" si="3"/>
        <v>58.765217391304347</v>
      </c>
      <c r="AC18" s="156">
        <v>60</v>
      </c>
      <c r="AD18" s="65">
        <f t="shared" si="3"/>
        <v>61.234782608695653</v>
      </c>
      <c r="AE18" s="65">
        <f t="shared" si="4"/>
        <v>62.469565217391306</v>
      </c>
      <c r="AF18" s="65">
        <f t="shared" si="4"/>
        <v>63.704347826086959</v>
      </c>
      <c r="AG18" s="65">
        <f t="shared" si="4"/>
        <v>64.939130434782612</v>
      </c>
      <c r="AH18" s="65">
        <f t="shared" si="4"/>
        <v>66.173913043478251</v>
      </c>
      <c r="AI18" s="65">
        <f t="shared" si="4"/>
        <v>67.408695652173918</v>
      </c>
      <c r="AJ18" s="65">
        <f t="shared" si="4"/>
        <v>68.643478260869557</v>
      </c>
      <c r="AK18" s="65">
        <f t="shared" si="4"/>
        <v>69.878260869565224</v>
      </c>
      <c r="AL18" s="65">
        <f t="shared" si="4"/>
        <v>71.113043478260863</v>
      </c>
      <c r="AM18" s="65">
        <f t="shared" si="4"/>
        <v>72.34782608695653</v>
      </c>
      <c r="AN18" s="65">
        <f t="shared" si="4"/>
        <v>73.582608695652169</v>
      </c>
      <c r="AO18" s="65">
        <f t="shared" si="4"/>
        <v>74.817391304347836</v>
      </c>
      <c r="AP18" s="65">
        <f t="shared" si="4"/>
        <v>76.052173913043475</v>
      </c>
      <c r="AQ18" s="65">
        <f t="shared" si="4"/>
        <v>77.286956521739128</v>
      </c>
      <c r="AR18" s="65">
        <f t="shared" si="4"/>
        <v>78.521739130434781</v>
      </c>
    </row>
    <row r="19" spans="2:44" s="65" customFormat="1">
      <c r="C19" s="188" t="str">
        <f t="shared" si="5"/>
        <v>SB Approach - US 85</v>
      </c>
      <c r="D19" s="65">
        <f t="shared" si="6"/>
        <v>11.326086956521738</v>
      </c>
      <c r="E19" s="65">
        <f t="shared" si="6"/>
        <v>12.513043478260869</v>
      </c>
      <c r="F19" s="156">
        <v>13.7</v>
      </c>
      <c r="G19" s="65">
        <f t="shared" si="6"/>
        <v>14.88695652173913</v>
      </c>
      <c r="H19" s="65">
        <f t="shared" si="3"/>
        <v>16.07391304347826</v>
      </c>
      <c r="I19" s="65">
        <f t="shared" si="3"/>
        <v>17.260869565217391</v>
      </c>
      <c r="J19" s="65">
        <f t="shared" si="3"/>
        <v>18.447826086956521</v>
      </c>
      <c r="K19" s="65">
        <f t="shared" si="3"/>
        <v>19.634782608695652</v>
      </c>
      <c r="L19" s="65">
        <f t="shared" si="3"/>
        <v>20.821739130434782</v>
      </c>
      <c r="M19" s="65">
        <f t="shared" si="3"/>
        <v>22.008695652173913</v>
      </c>
      <c r="N19" s="65">
        <f t="shared" si="3"/>
        <v>23.195652173913043</v>
      </c>
      <c r="O19" s="65">
        <f t="shared" si="3"/>
        <v>24.382608695652173</v>
      </c>
      <c r="P19" s="65">
        <f t="shared" si="3"/>
        <v>25.569565217391304</v>
      </c>
      <c r="Q19" s="65">
        <f t="shared" si="3"/>
        <v>26.756521739130434</v>
      </c>
      <c r="R19" s="65">
        <f t="shared" si="3"/>
        <v>27.943478260869565</v>
      </c>
      <c r="S19" s="65">
        <f t="shared" si="3"/>
        <v>29.130434782608695</v>
      </c>
      <c r="T19" s="65">
        <f t="shared" si="3"/>
        <v>30.317391304347826</v>
      </c>
      <c r="U19" s="65">
        <f t="shared" si="3"/>
        <v>31.504347826086956</v>
      </c>
      <c r="V19" s="65">
        <f t="shared" si="3"/>
        <v>32.69130434782609</v>
      </c>
      <c r="W19" s="65">
        <f t="shared" si="3"/>
        <v>33.878260869565217</v>
      </c>
      <c r="X19" s="65">
        <f t="shared" si="3"/>
        <v>35.065217391304344</v>
      </c>
      <c r="Y19" s="65">
        <f t="shared" si="3"/>
        <v>36.252173913043478</v>
      </c>
      <c r="Z19" s="65">
        <f t="shared" si="3"/>
        <v>37.439130434782612</v>
      </c>
      <c r="AA19" s="65">
        <f t="shared" si="3"/>
        <v>38.626086956521739</v>
      </c>
      <c r="AB19" s="65">
        <f t="shared" si="3"/>
        <v>39.813043478260866</v>
      </c>
      <c r="AC19" s="156">
        <v>41</v>
      </c>
      <c r="AD19" s="65">
        <f t="shared" si="3"/>
        <v>42.186956521739134</v>
      </c>
      <c r="AE19" s="65">
        <f t="shared" si="4"/>
        <v>43.373913043478261</v>
      </c>
      <c r="AF19" s="65">
        <f t="shared" si="4"/>
        <v>44.560869565217388</v>
      </c>
      <c r="AG19" s="65">
        <f t="shared" si="4"/>
        <v>45.747826086956522</v>
      </c>
      <c r="AH19" s="65">
        <f t="shared" si="4"/>
        <v>46.934782608695656</v>
      </c>
      <c r="AI19" s="65">
        <f t="shared" si="4"/>
        <v>48.12173913043479</v>
      </c>
      <c r="AJ19" s="65">
        <f t="shared" si="4"/>
        <v>49.30869565217391</v>
      </c>
      <c r="AK19" s="65">
        <f t="shared" si="4"/>
        <v>50.495652173913044</v>
      </c>
      <c r="AL19" s="65">
        <f t="shared" si="4"/>
        <v>51.682608695652178</v>
      </c>
      <c r="AM19" s="65">
        <f t="shared" si="4"/>
        <v>52.869565217391312</v>
      </c>
      <c r="AN19" s="65">
        <f t="shared" si="4"/>
        <v>54.056521739130432</v>
      </c>
      <c r="AO19" s="65">
        <f t="shared" si="4"/>
        <v>55.243478260869566</v>
      </c>
      <c r="AP19" s="65">
        <f t="shared" si="4"/>
        <v>56.4304347826087</v>
      </c>
      <c r="AQ19" s="65">
        <f t="shared" si="4"/>
        <v>57.617391304347834</v>
      </c>
      <c r="AR19" s="65">
        <f t="shared" si="4"/>
        <v>58.804347826086953</v>
      </c>
    </row>
    <row r="20" spans="2:44"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</row>
    <row r="21" spans="2:44" s="65" customFormat="1">
      <c r="C21" s="186" t="str">
        <f>"BASELINE (No "&amp;'BCA Summary'!$E$1&amp;" Grant) AM Peak Hour Total Vehicular Delay, hrs"</f>
        <v>BASELINE (No BUILD Grant Grant) AM Peak Hour Total Vehicular Delay, hrs</v>
      </c>
      <c r="D21" s="65">
        <f t="shared" si="6"/>
        <v>22.629045893719809</v>
      </c>
      <c r="E21" s="65">
        <f t="shared" si="6"/>
        <v>28.16910628019324</v>
      </c>
      <c r="F21" s="156">
        <f>((F11*F16)+(F12*F17)+(F13*F18)+(F14*F19))/3600</f>
        <v>33.709166666666668</v>
      </c>
      <c r="G21" s="65">
        <f t="shared" si="6"/>
        <v>39.249227053140096</v>
      </c>
      <c r="H21" s="65">
        <f t="shared" si="3"/>
        <v>44.789287439613531</v>
      </c>
      <c r="I21" s="65">
        <f t="shared" si="3"/>
        <v>50.329347826086959</v>
      </c>
      <c r="J21" s="65">
        <f t="shared" si="3"/>
        <v>55.869408212560387</v>
      </c>
      <c r="K21" s="65">
        <f t="shared" si="3"/>
        <v>61.409468599033815</v>
      </c>
      <c r="L21" s="65">
        <f t="shared" si="3"/>
        <v>66.949528985507243</v>
      </c>
      <c r="M21" s="65">
        <f t="shared" si="3"/>
        <v>72.489589371980685</v>
      </c>
      <c r="N21" s="65">
        <f t="shared" si="3"/>
        <v>78.029649758454099</v>
      </c>
      <c r="O21" s="65">
        <f t="shared" si="3"/>
        <v>83.569710144927541</v>
      </c>
      <c r="P21" s="65">
        <f t="shared" si="3"/>
        <v>89.109770531400954</v>
      </c>
      <c r="Q21" s="65">
        <f t="shared" si="3"/>
        <v>94.649830917874397</v>
      </c>
      <c r="R21" s="65">
        <f t="shared" si="3"/>
        <v>100.18989130434784</v>
      </c>
      <c r="S21" s="65">
        <f t="shared" si="3"/>
        <v>105.72995169082125</v>
      </c>
      <c r="T21" s="65">
        <f t="shared" si="3"/>
        <v>111.27001207729469</v>
      </c>
      <c r="U21" s="65">
        <f t="shared" si="3"/>
        <v>116.81007246376811</v>
      </c>
      <c r="V21" s="65">
        <f t="shared" si="3"/>
        <v>122.35013285024155</v>
      </c>
      <c r="W21" s="65">
        <f t="shared" si="3"/>
        <v>127.89019323671496</v>
      </c>
      <c r="X21" s="65">
        <f t="shared" si="3"/>
        <v>133.43025362318841</v>
      </c>
      <c r="Y21" s="65">
        <f t="shared" si="3"/>
        <v>138.97031400966182</v>
      </c>
      <c r="Z21" s="65">
        <f t="shared" si="3"/>
        <v>144.51037439613526</v>
      </c>
      <c r="AA21" s="65">
        <f t="shared" si="3"/>
        <v>150.0504347826087</v>
      </c>
      <c r="AB21" s="65">
        <f t="shared" si="3"/>
        <v>155.59049516908212</v>
      </c>
      <c r="AC21" s="156">
        <f>((AC11*AC16)+(AC12*AC17)+(AC13*AC18)+(AC14*AC19))/3600</f>
        <v>161.13055555555556</v>
      </c>
      <c r="AD21" s="65">
        <f t="shared" si="3"/>
        <v>166.670615942029</v>
      </c>
      <c r="AE21" s="65">
        <f t="shared" si="4"/>
        <v>172.21067632850242</v>
      </c>
      <c r="AF21" s="65">
        <f t="shared" si="4"/>
        <v>177.75073671497586</v>
      </c>
      <c r="AG21" s="65">
        <f t="shared" si="4"/>
        <v>183.29079710144927</v>
      </c>
      <c r="AH21" s="65">
        <f t="shared" si="4"/>
        <v>188.83085748792271</v>
      </c>
      <c r="AI21" s="65">
        <f t="shared" si="4"/>
        <v>194.37091787439613</v>
      </c>
      <c r="AJ21" s="65">
        <f t="shared" si="4"/>
        <v>199.91097826086957</v>
      </c>
      <c r="AK21" s="65">
        <f t="shared" si="4"/>
        <v>205.45103864734298</v>
      </c>
      <c r="AL21" s="65">
        <f t="shared" si="4"/>
        <v>210.99109903381643</v>
      </c>
      <c r="AM21" s="65">
        <f t="shared" si="4"/>
        <v>216.53115942028987</v>
      </c>
      <c r="AN21" s="65">
        <f t="shared" si="4"/>
        <v>222.07121980676328</v>
      </c>
      <c r="AO21" s="65">
        <f t="shared" si="4"/>
        <v>227.61128019323672</v>
      </c>
      <c r="AP21" s="65">
        <f t="shared" si="4"/>
        <v>233.15134057971014</v>
      </c>
      <c r="AQ21" s="65">
        <f t="shared" si="4"/>
        <v>238.69140096618358</v>
      </c>
      <c r="AR21" s="65">
        <f t="shared" si="4"/>
        <v>244.23146135265699</v>
      </c>
    </row>
    <row r="23" spans="2:44" s="23" customFormat="1">
      <c r="B23" s="23" t="s">
        <v>262</v>
      </c>
      <c r="D23" s="68"/>
      <c r="E23" s="68"/>
      <c r="F23" s="69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9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</row>
    <row r="24" spans="2:44">
      <c r="C24" t="str">
        <f>C11</f>
        <v>EB Approach - 120th Avenue</v>
      </c>
      <c r="D24" s="48">
        <f>$F24+(($AC24-$F24)/($AC$4-$F$4))*(D$4-$F$4)</f>
        <v>752.17391304347825</v>
      </c>
      <c r="E24" s="48">
        <f>$F24+(($AC24-$F24)/($AC$4-$F$4))*(E$4-$F$4)</f>
        <v>786.08695652173913</v>
      </c>
      <c r="F24" s="91">
        <v>820</v>
      </c>
      <c r="G24" s="48">
        <f>$F24+(($AC24-$F24)/($AC$4-$F$4))*(G$4-$F$4)</f>
        <v>853.91304347826087</v>
      </c>
      <c r="H24" s="48">
        <f t="shared" ref="H24:AE26" si="7">$F24+(($AC24-$F24)/($AC$4-$F$4))*(H$4-$F$4)</f>
        <v>887.82608695652175</v>
      </c>
      <c r="I24" s="48">
        <f t="shared" si="7"/>
        <v>921.73913043478262</v>
      </c>
      <c r="J24" s="48">
        <f t="shared" si="7"/>
        <v>955.6521739130435</v>
      </c>
      <c r="K24" s="48">
        <f t="shared" si="7"/>
        <v>989.56521739130437</v>
      </c>
      <c r="L24" s="48">
        <f t="shared" si="7"/>
        <v>1023.4782608695652</v>
      </c>
      <c r="M24" s="48">
        <f t="shared" si="7"/>
        <v>1057.391304347826</v>
      </c>
      <c r="N24" s="48">
        <f t="shared" si="7"/>
        <v>1091.304347826087</v>
      </c>
      <c r="O24" s="48">
        <f t="shared" si="7"/>
        <v>1125.2173913043478</v>
      </c>
      <c r="P24" s="48">
        <f t="shared" si="7"/>
        <v>1159.1304347826087</v>
      </c>
      <c r="Q24" s="48">
        <f t="shared" si="7"/>
        <v>1193.0434782608695</v>
      </c>
      <c r="R24" s="48">
        <f t="shared" si="7"/>
        <v>1226.9565217391305</v>
      </c>
      <c r="S24" s="48">
        <f t="shared" si="7"/>
        <v>1260.8695652173913</v>
      </c>
      <c r="T24" s="48">
        <f t="shared" si="7"/>
        <v>1294.782608695652</v>
      </c>
      <c r="U24" s="48">
        <f t="shared" si="7"/>
        <v>1328.695652173913</v>
      </c>
      <c r="V24" s="48">
        <f t="shared" si="7"/>
        <v>1362.608695652174</v>
      </c>
      <c r="W24" s="48">
        <f t="shared" si="7"/>
        <v>1396.5217391304348</v>
      </c>
      <c r="X24" s="48">
        <f t="shared" si="7"/>
        <v>1430.4347826086955</v>
      </c>
      <c r="Y24" s="48">
        <f t="shared" si="7"/>
        <v>1464.3478260869565</v>
      </c>
      <c r="Z24" s="48">
        <f t="shared" si="7"/>
        <v>1498.2608695652175</v>
      </c>
      <c r="AA24" s="48">
        <f t="shared" si="7"/>
        <v>1532.1739130434783</v>
      </c>
      <c r="AB24" s="48">
        <f t="shared" si="7"/>
        <v>1566.086956521739</v>
      </c>
      <c r="AC24" s="91">
        <v>1600</v>
      </c>
      <c r="AD24" s="48">
        <f>$F24+(($AC24-$F24)/($AC$4-$F$4))*(AD$4-$F$4)</f>
        <v>1633.9130434782608</v>
      </c>
      <c r="AE24" s="48">
        <f t="shared" ref="AE24:AR26" si="8">$F24+(($AC24-$F24)/($AC$4-$F$4))*(AE$4-$F$4)</f>
        <v>1667.8260869565215</v>
      </c>
      <c r="AF24" s="48">
        <f t="shared" si="8"/>
        <v>1701.7391304347825</v>
      </c>
      <c r="AG24" s="48">
        <f t="shared" si="8"/>
        <v>1735.6521739130435</v>
      </c>
      <c r="AH24" s="48">
        <f t="shared" si="8"/>
        <v>1769.5652173913043</v>
      </c>
      <c r="AI24" s="48">
        <f t="shared" si="8"/>
        <v>1803.478260869565</v>
      </c>
      <c r="AJ24" s="48">
        <f t="shared" si="8"/>
        <v>1837.391304347826</v>
      </c>
      <c r="AK24" s="48">
        <f t="shared" si="8"/>
        <v>1871.304347826087</v>
      </c>
      <c r="AL24" s="48">
        <f t="shared" si="8"/>
        <v>1905.2173913043478</v>
      </c>
      <c r="AM24" s="48">
        <f t="shared" si="8"/>
        <v>1939.1304347826085</v>
      </c>
      <c r="AN24" s="48">
        <f t="shared" si="8"/>
        <v>1973.0434782608695</v>
      </c>
      <c r="AO24" s="48">
        <f t="shared" si="8"/>
        <v>2006.9565217391303</v>
      </c>
      <c r="AP24" s="48">
        <f t="shared" si="8"/>
        <v>2040.8695652173913</v>
      </c>
      <c r="AQ24" s="48">
        <f t="shared" si="8"/>
        <v>2074.782608695652</v>
      </c>
      <c r="AR24" s="48">
        <f t="shared" si="8"/>
        <v>2108.695652173913</v>
      </c>
    </row>
    <row r="25" spans="2:44">
      <c r="C25" t="str">
        <f t="shared" ref="C25" si="9">C12</f>
        <v>WB Approach - 120th Avenue</v>
      </c>
      <c r="D25" s="48">
        <f t="shared" ref="D25:S26" si="10">$F25+(($AC25-$F25)/($AC$4-$F$4))*(D$4-$F$4)</f>
        <v>681.73913043478262</v>
      </c>
      <c r="E25" s="48">
        <f t="shared" si="10"/>
        <v>690.86956521739125</v>
      </c>
      <c r="F25" s="91">
        <v>700</v>
      </c>
      <c r="G25" s="48">
        <f t="shared" si="10"/>
        <v>709.13043478260875</v>
      </c>
      <c r="H25" s="48">
        <f t="shared" si="10"/>
        <v>718.26086956521738</v>
      </c>
      <c r="I25" s="48">
        <f t="shared" si="10"/>
        <v>727.39130434782612</v>
      </c>
      <c r="J25" s="48">
        <f t="shared" si="10"/>
        <v>736.52173913043475</v>
      </c>
      <c r="K25" s="48">
        <f t="shared" si="10"/>
        <v>745.6521739130435</v>
      </c>
      <c r="L25" s="48">
        <f t="shared" si="10"/>
        <v>754.78260869565213</v>
      </c>
      <c r="M25" s="48">
        <f t="shared" si="10"/>
        <v>763.91304347826087</v>
      </c>
      <c r="N25" s="48">
        <f t="shared" si="10"/>
        <v>773.04347826086951</v>
      </c>
      <c r="O25" s="48">
        <f t="shared" si="10"/>
        <v>782.17391304347825</v>
      </c>
      <c r="P25" s="48">
        <f t="shared" si="10"/>
        <v>791.304347826087</v>
      </c>
      <c r="Q25" s="48">
        <f t="shared" si="10"/>
        <v>800.43478260869563</v>
      </c>
      <c r="R25" s="48">
        <f t="shared" si="10"/>
        <v>809.56521739130437</v>
      </c>
      <c r="S25" s="48">
        <f t="shared" si="10"/>
        <v>818.695652173913</v>
      </c>
      <c r="T25" s="48">
        <f t="shared" si="7"/>
        <v>827.82608695652175</v>
      </c>
      <c r="U25" s="48">
        <f t="shared" si="7"/>
        <v>836.95652173913049</v>
      </c>
      <c r="V25" s="48">
        <f t="shared" si="7"/>
        <v>846.08695652173913</v>
      </c>
      <c r="W25" s="48">
        <f t="shared" si="7"/>
        <v>855.21739130434776</v>
      </c>
      <c r="X25" s="48">
        <f t="shared" si="7"/>
        <v>864.3478260869565</v>
      </c>
      <c r="Y25" s="48">
        <f t="shared" si="7"/>
        <v>873.47826086956525</v>
      </c>
      <c r="Z25" s="48">
        <f t="shared" si="7"/>
        <v>882.60869565217388</v>
      </c>
      <c r="AA25" s="48">
        <f t="shared" si="7"/>
        <v>891.73913043478262</v>
      </c>
      <c r="AB25" s="48">
        <f t="shared" si="7"/>
        <v>900.86956521739125</v>
      </c>
      <c r="AC25" s="91">
        <v>910</v>
      </c>
      <c r="AD25" s="48">
        <f t="shared" si="7"/>
        <v>919.13043478260875</v>
      </c>
      <c r="AE25" s="48">
        <f t="shared" si="7"/>
        <v>928.26086956521738</v>
      </c>
      <c r="AF25" s="48">
        <f t="shared" si="8"/>
        <v>937.39130434782601</v>
      </c>
      <c r="AG25" s="48">
        <f t="shared" si="8"/>
        <v>946.52173913043475</v>
      </c>
      <c r="AH25" s="48">
        <f t="shared" si="8"/>
        <v>955.6521739130435</v>
      </c>
      <c r="AI25" s="48">
        <f t="shared" si="8"/>
        <v>964.78260869565224</v>
      </c>
      <c r="AJ25" s="48">
        <f t="shared" si="8"/>
        <v>973.91304347826087</v>
      </c>
      <c r="AK25" s="48">
        <f t="shared" si="8"/>
        <v>983.04347826086951</v>
      </c>
      <c r="AL25" s="48">
        <f t="shared" si="8"/>
        <v>992.17391304347825</v>
      </c>
      <c r="AM25" s="48">
        <f t="shared" si="8"/>
        <v>1001.304347826087</v>
      </c>
      <c r="AN25" s="48">
        <f t="shared" si="8"/>
        <v>1010.4347826086956</v>
      </c>
      <c r="AO25" s="48">
        <f t="shared" si="8"/>
        <v>1019.5652173913043</v>
      </c>
      <c r="AP25" s="48">
        <f t="shared" si="8"/>
        <v>1028.695652173913</v>
      </c>
      <c r="AQ25" s="48">
        <f t="shared" si="8"/>
        <v>1037.8260869565217</v>
      </c>
      <c r="AR25" s="48">
        <f t="shared" si="8"/>
        <v>1046.9565217391305</v>
      </c>
    </row>
    <row r="26" spans="2:44">
      <c r="C26" t="str">
        <f>C14</f>
        <v>SB Approach - US 85</v>
      </c>
      <c r="D26" s="48">
        <f t="shared" si="10"/>
        <v>99.565217391304344</v>
      </c>
      <c r="E26" s="48">
        <f t="shared" si="10"/>
        <v>114.78260869565217</v>
      </c>
      <c r="F26" s="91">
        <v>130</v>
      </c>
      <c r="G26" s="48">
        <f t="shared" si="10"/>
        <v>145.21739130434781</v>
      </c>
      <c r="H26" s="48">
        <f t="shared" si="7"/>
        <v>160.43478260869566</v>
      </c>
      <c r="I26" s="48">
        <f t="shared" si="7"/>
        <v>175.65217391304347</v>
      </c>
      <c r="J26" s="48">
        <f t="shared" si="7"/>
        <v>190.86956521739131</v>
      </c>
      <c r="K26" s="48">
        <f t="shared" si="7"/>
        <v>206.08695652173913</v>
      </c>
      <c r="L26" s="48">
        <f t="shared" si="7"/>
        <v>221.30434782608694</v>
      </c>
      <c r="M26" s="48">
        <f t="shared" si="7"/>
        <v>236.52173913043478</v>
      </c>
      <c r="N26" s="48">
        <f t="shared" si="7"/>
        <v>251.73913043478262</v>
      </c>
      <c r="O26" s="48">
        <f t="shared" si="7"/>
        <v>266.95652173913044</v>
      </c>
      <c r="P26" s="48">
        <f t="shared" si="7"/>
        <v>282.17391304347825</v>
      </c>
      <c r="Q26" s="48">
        <f t="shared" si="7"/>
        <v>297.39130434782612</v>
      </c>
      <c r="R26" s="48">
        <f t="shared" si="7"/>
        <v>312.60869565217388</v>
      </c>
      <c r="S26" s="48">
        <f t="shared" si="7"/>
        <v>327.82608695652175</v>
      </c>
      <c r="T26" s="48">
        <f t="shared" si="7"/>
        <v>343.04347826086956</v>
      </c>
      <c r="U26" s="48">
        <f t="shared" si="7"/>
        <v>358.26086956521738</v>
      </c>
      <c r="V26" s="48">
        <f t="shared" si="7"/>
        <v>373.47826086956525</v>
      </c>
      <c r="W26" s="48">
        <f t="shared" si="7"/>
        <v>388.69565217391306</v>
      </c>
      <c r="X26" s="48">
        <f t="shared" si="7"/>
        <v>403.91304347826087</v>
      </c>
      <c r="Y26" s="48">
        <f t="shared" si="7"/>
        <v>419.13043478260869</v>
      </c>
      <c r="Z26" s="48">
        <f t="shared" si="7"/>
        <v>434.3478260869565</v>
      </c>
      <c r="AA26" s="48">
        <f t="shared" si="7"/>
        <v>449.56521739130437</v>
      </c>
      <c r="AB26" s="48">
        <f t="shared" si="7"/>
        <v>464.78260869565219</v>
      </c>
      <c r="AC26" s="91">
        <v>480</v>
      </c>
      <c r="AD26" s="48">
        <f t="shared" si="7"/>
        <v>495.21739130434781</v>
      </c>
      <c r="AE26" s="48">
        <f t="shared" si="8"/>
        <v>510.43478260869563</v>
      </c>
      <c r="AF26" s="48">
        <f t="shared" si="8"/>
        <v>525.6521739130435</v>
      </c>
      <c r="AG26" s="48">
        <f t="shared" si="8"/>
        <v>540.86956521739125</v>
      </c>
      <c r="AH26" s="48">
        <f t="shared" si="8"/>
        <v>556.08695652173913</v>
      </c>
      <c r="AI26" s="48">
        <f t="shared" si="8"/>
        <v>571.304347826087</v>
      </c>
      <c r="AJ26" s="48">
        <f t="shared" si="8"/>
        <v>586.52173913043475</v>
      </c>
      <c r="AK26" s="48">
        <f t="shared" si="8"/>
        <v>601.73913043478262</v>
      </c>
      <c r="AL26" s="48">
        <f t="shared" si="8"/>
        <v>616.95652173913049</v>
      </c>
      <c r="AM26" s="48">
        <f t="shared" si="8"/>
        <v>632.17391304347825</v>
      </c>
      <c r="AN26" s="48">
        <f t="shared" si="8"/>
        <v>647.39130434782612</v>
      </c>
      <c r="AO26" s="48">
        <f t="shared" si="8"/>
        <v>662.60869565217388</v>
      </c>
      <c r="AP26" s="48">
        <f t="shared" si="8"/>
        <v>677.82608695652175</v>
      </c>
      <c r="AQ26" s="48">
        <f t="shared" si="8"/>
        <v>693.04347826086962</v>
      </c>
      <c r="AR26" s="48">
        <f t="shared" si="8"/>
        <v>708.26086956521738</v>
      </c>
    </row>
    <row r="27" spans="2:44">
      <c r="B27" s="23" t="s">
        <v>263</v>
      </c>
      <c r="C27" s="23"/>
      <c r="D27" s="66"/>
      <c r="E27" s="66"/>
      <c r="F27" s="69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9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</row>
    <row r="28" spans="2:44" s="65" customFormat="1">
      <c r="C28" s="188" t="str">
        <f>C16</f>
        <v>EB Approach - 120th Avenue</v>
      </c>
      <c r="D28" s="65">
        <f>$F28+(($AC28-$F28)/($AC$4-$F$4))*(D$4-$F$4)</f>
        <v>18</v>
      </c>
      <c r="E28" s="65">
        <f>$F28+(($AC28-$F28)/($AC$4-$F$4))*(E$4-$F$4)</f>
        <v>18</v>
      </c>
      <c r="F28" s="70">
        <v>18</v>
      </c>
      <c r="G28" s="65">
        <f>$F28+(($AC28-$F28)/($AC$4-$F$4))*(G$4-$F$4)</f>
        <v>18</v>
      </c>
      <c r="H28" s="65">
        <f t="shared" ref="H28:AE43" si="11">$F28+(($AC28-$F28)/($AC$4-$F$4))*(H$4-$F$4)</f>
        <v>18</v>
      </c>
      <c r="I28" s="65">
        <f t="shared" si="11"/>
        <v>18</v>
      </c>
      <c r="J28" s="65">
        <f t="shared" si="11"/>
        <v>18</v>
      </c>
      <c r="K28" s="65">
        <f t="shared" si="11"/>
        <v>18</v>
      </c>
      <c r="L28" s="65">
        <f t="shared" si="11"/>
        <v>18</v>
      </c>
      <c r="M28" s="65">
        <f t="shared" si="11"/>
        <v>18</v>
      </c>
      <c r="N28" s="65">
        <f t="shared" si="11"/>
        <v>18</v>
      </c>
      <c r="O28" s="65">
        <f t="shared" si="11"/>
        <v>18</v>
      </c>
      <c r="P28" s="65">
        <f t="shared" si="11"/>
        <v>18</v>
      </c>
      <c r="Q28" s="65">
        <f t="shared" si="11"/>
        <v>18</v>
      </c>
      <c r="R28" s="65">
        <f t="shared" si="11"/>
        <v>18</v>
      </c>
      <c r="S28" s="65">
        <f t="shared" si="11"/>
        <v>18</v>
      </c>
      <c r="T28" s="65">
        <f t="shared" si="11"/>
        <v>18</v>
      </c>
      <c r="U28" s="65">
        <f t="shared" si="11"/>
        <v>18</v>
      </c>
      <c r="V28" s="65">
        <f t="shared" si="11"/>
        <v>18</v>
      </c>
      <c r="W28" s="65">
        <f t="shared" si="11"/>
        <v>18</v>
      </c>
      <c r="X28" s="65">
        <f t="shared" si="11"/>
        <v>18</v>
      </c>
      <c r="Y28" s="65">
        <f t="shared" si="11"/>
        <v>18</v>
      </c>
      <c r="Z28" s="65">
        <f t="shared" si="11"/>
        <v>18</v>
      </c>
      <c r="AA28" s="65">
        <f t="shared" si="11"/>
        <v>18</v>
      </c>
      <c r="AB28" s="65">
        <f t="shared" si="11"/>
        <v>18</v>
      </c>
      <c r="AC28" s="70">
        <v>18</v>
      </c>
      <c r="AD28" s="65">
        <f t="shared" si="11"/>
        <v>18</v>
      </c>
      <c r="AE28" s="65">
        <f t="shared" si="11"/>
        <v>18</v>
      </c>
      <c r="AF28" s="65">
        <f t="shared" ref="AE28:AR43" si="12">$F28+(($AC28-$F28)/($AC$4-$F$4))*(AF$4-$F$4)</f>
        <v>18</v>
      </c>
      <c r="AG28" s="65">
        <f t="shared" si="12"/>
        <v>18</v>
      </c>
      <c r="AH28" s="65">
        <f t="shared" si="12"/>
        <v>18</v>
      </c>
      <c r="AI28" s="65">
        <f t="shared" si="12"/>
        <v>18</v>
      </c>
      <c r="AJ28" s="65">
        <f t="shared" si="12"/>
        <v>18</v>
      </c>
      <c r="AK28" s="65">
        <f t="shared" si="12"/>
        <v>18</v>
      </c>
      <c r="AL28" s="65">
        <f t="shared" si="12"/>
        <v>18</v>
      </c>
      <c r="AM28" s="65">
        <f t="shared" si="12"/>
        <v>18</v>
      </c>
      <c r="AN28" s="65">
        <f t="shared" si="12"/>
        <v>18</v>
      </c>
      <c r="AO28" s="65">
        <f t="shared" si="12"/>
        <v>18</v>
      </c>
      <c r="AP28" s="65">
        <f t="shared" si="12"/>
        <v>18</v>
      </c>
      <c r="AQ28" s="65">
        <f t="shared" si="12"/>
        <v>18</v>
      </c>
      <c r="AR28" s="65">
        <f t="shared" si="12"/>
        <v>18</v>
      </c>
    </row>
    <row r="29" spans="2:44" s="65" customFormat="1">
      <c r="C29" s="188" t="str">
        <f>C17</f>
        <v>WB Approach - 120th Avenue</v>
      </c>
      <c r="D29" s="65">
        <f t="shared" ref="D29:S43" si="13">$F29+(($AC29-$F29)/($AC$4-$F$4))*(D$4-$F$4)</f>
        <v>11.652173913043478</v>
      </c>
      <c r="E29" s="65">
        <f t="shared" si="13"/>
        <v>11.826086956521738</v>
      </c>
      <c r="F29" s="70">
        <v>12</v>
      </c>
      <c r="G29" s="65">
        <f t="shared" si="13"/>
        <v>12.173913043478262</v>
      </c>
      <c r="H29" s="65">
        <f t="shared" si="13"/>
        <v>12.347826086956522</v>
      </c>
      <c r="I29" s="65">
        <f t="shared" si="13"/>
        <v>12.521739130434783</v>
      </c>
      <c r="J29" s="65">
        <f t="shared" si="13"/>
        <v>12.695652173913043</v>
      </c>
      <c r="K29" s="65">
        <f t="shared" si="13"/>
        <v>12.869565217391305</v>
      </c>
      <c r="L29" s="65">
        <f t="shared" si="13"/>
        <v>13.043478260869565</v>
      </c>
      <c r="M29" s="65">
        <f t="shared" si="13"/>
        <v>13.217391304347826</v>
      </c>
      <c r="N29" s="65">
        <f t="shared" si="13"/>
        <v>13.391304347826086</v>
      </c>
      <c r="O29" s="65">
        <f t="shared" si="13"/>
        <v>13.565217391304348</v>
      </c>
      <c r="P29" s="65">
        <f t="shared" si="13"/>
        <v>13.739130434782609</v>
      </c>
      <c r="Q29" s="65">
        <f t="shared" si="13"/>
        <v>13.913043478260869</v>
      </c>
      <c r="R29" s="65">
        <f t="shared" si="13"/>
        <v>14.086956521739131</v>
      </c>
      <c r="S29" s="65">
        <f t="shared" si="13"/>
        <v>14.260869565217391</v>
      </c>
      <c r="T29" s="65">
        <f t="shared" si="11"/>
        <v>14.434782608695652</v>
      </c>
      <c r="U29" s="65">
        <f t="shared" si="11"/>
        <v>14.608695652173914</v>
      </c>
      <c r="V29" s="65">
        <f t="shared" si="11"/>
        <v>14.782608695652174</v>
      </c>
      <c r="W29" s="65">
        <f t="shared" si="11"/>
        <v>14.956521739130434</v>
      </c>
      <c r="X29" s="65">
        <f t="shared" si="11"/>
        <v>15.130434782608695</v>
      </c>
      <c r="Y29" s="65">
        <f t="shared" si="11"/>
        <v>15.304347826086957</v>
      </c>
      <c r="Z29" s="65">
        <f t="shared" si="11"/>
        <v>15.478260869565217</v>
      </c>
      <c r="AA29" s="65">
        <f t="shared" si="11"/>
        <v>15.652173913043478</v>
      </c>
      <c r="AB29" s="65">
        <f t="shared" si="11"/>
        <v>15.826086956521738</v>
      </c>
      <c r="AC29" s="70">
        <v>16</v>
      </c>
      <c r="AD29" s="65">
        <f t="shared" si="11"/>
        <v>16.173913043478262</v>
      </c>
      <c r="AE29" s="65">
        <f t="shared" si="12"/>
        <v>16.347826086956523</v>
      </c>
      <c r="AF29" s="65">
        <f t="shared" si="12"/>
        <v>16.521739130434781</v>
      </c>
      <c r="AG29" s="65">
        <f t="shared" si="12"/>
        <v>16.695652173913043</v>
      </c>
      <c r="AH29" s="65">
        <f t="shared" si="12"/>
        <v>16.869565217391305</v>
      </c>
      <c r="AI29" s="65">
        <f t="shared" si="12"/>
        <v>17.043478260869566</v>
      </c>
      <c r="AJ29" s="65">
        <f t="shared" si="12"/>
        <v>17.217391304347828</v>
      </c>
      <c r="AK29" s="65">
        <f t="shared" si="12"/>
        <v>17.391304347826086</v>
      </c>
      <c r="AL29" s="65">
        <f t="shared" si="12"/>
        <v>17.565217391304348</v>
      </c>
      <c r="AM29" s="65">
        <f t="shared" si="12"/>
        <v>17.739130434782609</v>
      </c>
      <c r="AN29" s="65">
        <f t="shared" si="12"/>
        <v>17.913043478260867</v>
      </c>
      <c r="AO29" s="65">
        <f t="shared" si="12"/>
        <v>18.086956521739129</v>
      </c>
      <c r="AP29" s="65">
        <f t="shared" si="12"/>
        <v>18.260869565217391</v>
      </c>
      <c r="AQ29" s="65">
        <f t="shared" si="12"/>
        <v>18.434782608695652</v>
      </c>
      <c r="AR29" s="65">
        <f t="shared" si="12"/>
        <v>18.608695652173914</v>
      </c>
    </row>
    <row r="30" spans="2:44" s="65" customFormat="1">
      <c r="C30" s="188" t="str">
        <f>C19</f>
        <v>SB Approach - US 85</v>
      </c>
      <c r="D30" s="65">
        <f t="shared" si="13"/>
        <v>5.9130434782608692</v>
      </c>
      <c r="E30" s="65">
        <f t="shared" si="13"/>
        <v>5.9565217391304346</v>
      </c>
      <c r="F30" s="70">
        <v>6</v>
      </c>
      <c r="G30" s="65">
        <f t="shared" si="13"/>
        <v>6.0434782608695654</v>
      </c>
      <c r="H30" s="65">
        <f t="shared" si="11"/>
        <v>6.0869565217391308</v>
      </c>
      <c r="I30" s="65">
        <f t="shared" si="11"/>
        <v>6.1304347826086953</v>
      </c>
      <c r="J30" s="65">
        <f t="shared" si="11"/>
        <v>6.1739130434782608</v>
      </c>
      <c r="K30" s="65">
        <f t="shared" si="11"/>
        <v>6.2173913043478262</v>
      </c>
      <c r="L30" s="65">
        <f t="shared" si="11"/>
        <v>6.2608695652173916</v>
      </c>
      <c r="M30" s="65">
        <f t="shared" si="11"/>
        <v>6.304347826086957</v>
      </c>
      <c r="N30" s="65">
        <f t="shared" si="11"/>
        <v>6.3478260869565215</v>
      </c>
      <c r="O30" s="65">
        <f t="shared" si="11"/>
        <v>6.3913043478260869</v>
      </c>
      <c r="P30" s="65">
        <f t="shared" si="11"/>
        <v>6.4347826086956523</v>
      </c>
      <c r="Q30" s="65">
        <f t="shared" si="11"/>
        <v>6.4782608695652177</v>
      </c>
      <c r="R30" s="65">
        <f t="shared" si="11"/>
        <v>6.5217391304347823</v>
      </c>
      <c r="S30" s="65">
        <f t="shared" si="11"/>
        <v>6.5652173913043477</v>
      </c>
      <c r="T30" s="65">
        <f t="shared" si="11"/>
        <v>6.6086956521739131</v>
      </c>
      <c r="U30" s="65">
        <f t="shared" si="11"/>
        <v>6.6521739130434785</v>
      </c>
      <c r="V30" s="65">
        <f t="shared" si="11"/>
        <v>6.695652173913043</v>
      </c>
      <c r="W30" s="65">
        <f t="shared" si="11"/>
        <v>6.7391304347826084</v>
      </c>
      <c r="X30" s="65">
        <f t="shared" si="11"/>
        <v>6.7826086956521738</v>
      </c>
      <c r="Y30" s="65">
        <f t="shared" si="11"/>
        <v>6.8260869565217392</v>
      </c>
      <c r="Z30" s="65">
        <f t="shared" si="11"/>
        <v>6.8695652173913047</v>
      </c>
      <c r="AA30" s="65">
        <f t="shared" si="11"/>
        <v>6.9130434782608692</v>
      </c>
      <c r="AB30" s="65">
        <f t="shared" si="11"/>
        <v>6.9565217391304346</v>
      </c>
      <c r="AC30" s="70">
        <v>7</v>
      </c>
      <c r="AD30" s="65">
        <f t="shared" si="11"/>
        <v>7.0434782608695654</v>
      </c>
      <c r="AE30" s="65">
        <f t="shared" si="12"/>
        <v>7.0869565217391308</v>
      </c>
      <c r="AF30" s="65">
        <f t="shared" si="12"/>
        <v>7.1304347826086953</v>
      </c>
      <c r="AG30" s="65">
        <f t="shared" si="12"/>
        <v>7.1739130434782608</v>
      </c>
      <c r="AH30" s="65">
        <f t="shared" si="12"/>
        <v>7.2173913043478262</v>
      </c>
      <c r="AI30" s="65">
        <f t="shared" si="12"/>
        <v>7.2608695652173916</v>
      </c>
      <c r="AJ30" s="65">
        <f t="shared" si="12"/>
        <v>7.304347826086957</v>
      </c>
      <c r="AK30" s="65">
        <f t="shared" si="12"/>
        <v>7.3478260869565215</v>
      </c>
      <c r="AL30" s="65">
        <f t="shared" si="12"/>
        <v>7.3913043478260869</v>
      </c>
      <c r="AM30" s="65">
        <f t="shared" si="12"/>
        <v>7.4347826086956523</v>
      </c>
      <c r="AN30" s="65">
        <f t="shared" si="12"/>
        <v>7.4782608695652169</v>
      </c>
      <c r="AO30" s="65">
        <f t="shared" si="12"/>
        <v>7.5217391304347823</v>
      </c>
      <c r="AP30" s="65">
        <f t="shared" si="12"/>
        <v>7.5652173913043477</v>
      </c>
      <c r="AQ30" s="65">
        <f t="shared" si="12"/>
        <v>7.6086956521739131</v>
      </c>
      <c r="AR30" s="65">
        <f t="shared" si="12"/>
        <v>7.6521739130434785</v>
      </c>
    </row>
    <row r="31" spans="2:44" s="65" customFormat="1">
      <c r="C31" s="189" t="s">
        <v>267</v>
      </c>
      <c r="D31" s="185">
        <f t="shared" ref="D31:AA31" si="14">((D24*D28)+(D25*D29)+(D26*D30))/3600</f>
        <v>6.1310018903591681</v>
      </c>
      <c r="E31" s="185">
        <f t="shared" si="14"/>
        <v>6.3898760764545255</v>
      </c>
      <c r="F31" s="70">
        <f>((F24*F28)+(F25*F29)+(F26*F30))/3600</f>
        <v>6.65</v>
      </c>
      <c r="G31" s="185">
        <f t="shared" si="14"/>
        <v>6.9113736609955891</v>
      </c>
      <c r="H31" s="185">
        <f t="shared" si="14"/>
        <v>7.1739970594412945</v>
      </c>
      <c r="I31" s="185">
        <f t="shared" si="14"/>
        <v>7.4378701953371138</v>
      </c>
      <c r="J31" s="185">
        <f t="shared" si="14"/>
        <v>7.7029930686830497</v>
      </c>
      <c r="K31" s="185">
        <f t="shared" si="14"/>
        <v>7.9693656794791012</v>
      </c>
      <c r="L31" s="185">
        <f t="shared" si="14"/>
        <v>8.2369880277252676</v>
      </c>
      <c r="M31" s="185">
        <f t="shared" si="14"/>
        <v>8.5058601134215497</v>
      </c>
      <c r="N31" s="185">
        <f t="shared" si="14"/>
        <v>8.7759819365679483</v>
      </c>
      <c r="O31" s="185">
        <f t="shared" si="14"/>
        <v>9.0473534971644618</v>
      </c>
      <c r="P31" s="185">
        <f t="shared" si="14"/>
        <v>9.3199747952110901</v>
      </c>
      <c r="Q31" s="185">
        <f t="shared" si="14"/>
        <v>9.5938458307078331</v>
      </c>
      <c r="R31" s="185">
        <f t="shared" si="14"/>
        <v>9.8689666036546946</v>
      </c>
      <c r="S31" s="185">
        <f t="shared" si="14"/>
        <v>10.145337114051671</v>
      </c>
      <c r="T31" s="185">
        <f t="shared" si="14"/>
        <v>10.422957361898758</v>
      </c>
      <c r="U31" s="185">
        <f t="shared" si="14"/>
        <v>10.701827347195966</v>
      </c>
      <c r="V31" s="185">
        <f t="shared" si="14"/>
        <v>10.98194706994329</v>
      </c>
      <c r="W31" s="185">
        <f t="shared" si="14"/>
        <v>11.263316530140726</v>
      </c>
      <c r="X31" s="185">
        <f t="shared" si="14"/>
        <v>11.545935727788279</v>
      </c>
      <c r="Y31" s="185">
        <f t="shared" si="14"/>
        <v>11.829804662885946</v>
      </c>
      <c r="Z31" s="185">
        <f t="shared" si="14"/>
        <v>12.114923335433733</v>
      </c>
      <c r="AA31" s="185">
        <f t="shared" si="14"/>
        <v>12.401291745431633</v>
      </c>
      <c r="AB31" s="185">
        <f>((AB24*AB28)+(AB25*AB29)+(AB26*AB30))/3600</f>
        <v>12.688909892879648</v>
      </c>
      <c r="AC31" s="70">
        <f>((AC24*AC28)+(AC25*AC29)+(AC26*AC30))/3600</f>
        <v>12.977777777777778</v>
      </c>
      <c r="AD31" s="185">
        <f>((AD24*AD28)+(AD25*AD29)+(AD26*AD30))/3600</f>
        <v>13.267895400126024</v>
      </c>
      <c r="AE31" s="185">
        <f t="shared" ref="AE31:AP31" si="15">((AE24*AE28)+(AE25*AE29)+(AE26*AE30))/3600</f>
        <v>13.559262759924387</v>
      </c>
      <c r="AF31" s="185">
        <f t="shared" si="15"/>
        <v>13.851879857172861</v>
      </c>
      <c r="AG31" s="185">
        <f t="shared" si="15"/>
        <v>14.145746691871455</v>
      </c>
      <c r="AH31" s="185">
        <f t="shared" si="15"/>
        <v>14.440863264020162</v>
      </c>
      <c r="AI31" s="185">
        <f t="shared" si="15"/>
        <v>14.737229573618986</v>
      </c>
      <c r="AJ31" s="185">
        <f t="shared" si="15"/>
        <v>15.034845620667925</v>
      </c>
      <c r="AK31" s="185">
        <f t="shared" si="15"/>
        <v>15.333711405166982</v>
      </c>
      <c r="AL31" s="185">
        <f t="shared" si="15"/>
        <v>15.63382692711615</v>
      </c>
      <c r="AM31" s="185">
        <f t="shared" si="15"/>
        <v>15.935192186515437</v>
      </c>
      <c r="AN31" s="185">
        <f t="shared" si="15"/>
        <v>16.237807183364836</v>
      </c>
      <c r="AO31" s="185">
        <f t="shared" si="15"/>
        <v>16.541671917664356</v>
      </c>
      <c r="AP31" s="185">
        <f t="shared" si="15"/>
        <v>16.846786389413989</v>
      </c>
      <c r="AR31" s="185">
        <f t="shared" ref="AR31" si="16">((AR24*AR28)+(AR25*AR29)+(AR26*AR30))/3600</f>
        <v>17.460764545263601</v>
      </c>
    </row>
    <row r="33" spans="2:44" s="23" customFormat="1">
      <c r="B33" s="23" t="s">
        <v>264</v>
      </c>
      <c r="D33" s="68"/>
      <c r="E33" s="68"/>
      <c r="F33" s="69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9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</row>
    <row r="34" spans="2:44">
      <c r="C34" t="str">
        <f>C11</f>
        <v>EB Approach - 120th Avenue</v>
      </c>
      <c r="D34" s="48">
        <f>$F34+(($AC34-$F34)/($AC$4-$F$4))*(D$4-$F$4)</f>
        <v>606.95652173913049</v>
      </c>
      <c r="E34" s="48">
        <f>$F34+(($AC34-$F34)/($AC$4-$F$4))*(E$4-$F$4)</f>
        <v>643.47826086956525</v>
      </c>
      <c r="F34" s="91">
        <v>680</v>
      </c>
      <c r="G34" s="48">
        <f>$F34+(($AC34-$F34)/($AC$4-$F$4))*(G$4-$F$4)</f>
        <v>716.52173913043475</v>
      </c>
      <c r="H34" s="48">
        <f t="shared" ref="H34:AE36" si="17">$F34+(($AC34-$F34)/($AC$4-$F$4))*(H$4-$F$4)</f>
        <v>753.04347826086951</v>
      </c>
      <c r="I34" s="48">
        <f t="shared" si="17"/>
        <v>789.56521739130437</v>
      </c>
      <c r="J34" s="48">
        <f t="shared" si="17"/>
        <v>826.08695652173913</v>
      </c>
      <c r="K34" s="48">
        <f t="shared" si="17"/>
        <v>862.60869565217388</v>
      </c>
      <c r="L34" s="48">
        <f t="shared" si="17"/>
        <v>899.13043478260875</v>
      </c>
      <c r="M34" s="48">
        <f t="shared" si="17"/>
        <v>935.6521739130435</v>
      </c>
      <c r="N34" s="48">
        <f t="shared" si="17"/>
        <v>972.17391304347825</v>
      </c>
      <c r="O34" s="48">
        <f t="shared" si="17"/>
        <v>1008.695652173913</v>
      </c>
      <c r="P34" s="48">
        <f t="shared" si="17"/>
        <v>1045.2173913043478</v>
      </c>
      <c r="Q34" s="48">
        <f t="shared" si="17"/>
        <v>1081.7391304347825</v>
      </c>
      <c r="R34" s="48">
        <f t="shared" si="17"/>
        <v>1118.2608695652175</v>
      </c>
      <c r="S34" s="48">
        <f t="shared" si="17"/>
        <v>1154.782608695652</v>
      </c>
      <c r="T34" s="48">
        <f t="shared" si="17"/>
        <v>1191.304347826087</v>
      </c>
      <c r="U34" s="48">
        <f t="shared" si="17"/>
        <v>1227.8260869565217</v>
      </c>
      <c r="V34" s="48">
        <f t="shared" si="17"/>
        <v>1264.3478260869565</v>
      </c>
      <c r="W34" s="48">
        <f t="shared" si="17"/>
        <v>1300.8695652173913</v>
      </c>
      <c r="X34" s="48">
        <f t="shared" si="17"/>
        <v>1337.391304347826</v>
      </c>
      <c r="Y34" s="48">
        <f t="shared" si="17"/>
        <v>1373.913043478261</v>
      </c>
      <c r="Z34" s="48">
        <f t="shared" si="17"/>
        <v>1410.4347826086955</v>
      </c>
      <c r="AA34" s="48">
        <f t="shared" si="17"/>
        <v>1446.9565217391305</v>
      </c>
      <c r="AB34" s="48">
        <f t="shared" si="17"/>
        <v>1483.4782608695652</v>
      </c>
      <c r="AC34" s="91">
        <v>1520</v>
      </c>
      <c r="AD34" s="48">
        <f>$F34+(($AC34-$F34)/($AC$4-$F$4))*(AD$4-$F$4)</f>
        <v>1556.5217391304348</v>
      </c>
      <c r="AE34" s="48">
        <f t="shared" ref="AE34:AR36" si="18">$F34+(($AC34-$F34)/($AC$4-$F$4))*(AE$4-$F$4)</f>
        <v>1593.0434782608695</v>
      </c>
      <c r="AF34" s="48">
        <f t="shared" si="18"/>
        <v>1629.5652173913043</v>
      </c>
      <c r="AG34" s="48">
        <f t="shared" si="18"/>
        <v>1666.086956521739</v>
      </c>
      <c r="AH34" s="48">
        <f t="shared" si="18"/>
        <v>1702.608695652174</v>
      </c>
      <c r="AI34" s="48">
        <f t="shared" si="18"/>
        <v>1739.1304347826087</v>
      </c>
      <c r="AJ34" s="48">
        <f t="shared" si="18"/>
        <v>1775.6521739130435</v>
      </c>
      <c r="AK34" s="48">
        <f t="shared" si="18"/>
        <v>1812.1739130434783</v>
      </c>
      <c r="AL34" s="48">
        <f t="shared" si="18"/>
        <v>1848.695652173913</v>
      </c>
      <c r="AM34" s="48">
        <f t="shared" si="18"/>
        <v>1885.2173913043478</v>
      </c>
      <c r="AN34" s="48">
        <f t="shared" si="18"/>
        <v>1921.7391304347825</v>
      </c>
      <c r="AO34" s="48">
        <f t="shared" si="18"/>
        <v>1958.2608695652173</v>
      </c>
      <c r="AP34" s="48">
        <f t="shared" si="18"/>
        <v>1994.782608695652</v>
      </c>
      <c r="AQ34" s="48">
        <f t="shared" si="18"/>
        <v>2031.304347826087</v>
      </c>
      <c r="AR34" s="48">
        <f t="shared" si="18"/>
        <v>2067.826086956522</v>
      </c>
    </row>
    <row r="35" spans="2:44">
      <c r="C35" t="str">
        <f>C12</f>
        <v>WB Approach - 120th Avenue</v>
      </c>
      <c r="D35" s="48">
        <f t="shared" ref="D35:S36" si="19">$F35+(($AC35-$F35)/($AC$4-$F$4))*(D$4-$F$4)</f>
        <v>587.82608695652175</v>
      </c>
      <c r="E35" s="48">
        <f t="shared" si="19"/>
        <v>603.91304347826087</v>
      </c>
      <c r="F35" s="91">
        <v>620</v>
      </c>
      <c r="G35" s="48">
        <f t="shared" si="19"/>
        <v>636.08695652173913</v>
      </c>
      <c r="H35" s="48">
        <f t="shared" si="19"/>
        <v>652.17391304347825</v>
      </c>
      <c r="I35" s="48">
        <f t="shared" si="19"/>
        <v>668.26086956521738</v>
      </c>
      <c r="J35" s="48">
        <f t="shared" si="19"/>
        <v>684.3478260869565</v>
      </c>
      <c r="K35" s="48">
        <f t="shared" si="19"/>
        <v>700.43478260869563</v>
      </c>
      <c r="L35" s="48">
        <f t="shared" si="19"/>
        <v>716.52173913043475</v>
      </c>
      <c r="M35" s="48">
        <f t="shared" si="19"/>
        <v>732.60869565217388</v>
      </c>
      <c r="N35" s="48">
        <f t="shared" si="19"/>
        <v>748.695652173913</v>
      </c>
      <c r="O35" s="48">
        <f t="shared" si="19"/>
        <v>764.78260869565213</v>
      </c>
      <c r="P35" s="48">
        <f t="shared" si="19"/>
        <v>780.86956521739125</v>
      </c>
      <c r="Q35" s="48">
        <f t="shared" si="19"/>
        <v>796.95652173913038</v>
      </c>
      <c r="R35" s="48">
        <f t="shared" si="19"/>
        <v>813.04347826086951</v>
      </c>
      <c r="S35" s="48">
        <f t="shared" si="19"/>
        <v>829.13043478260875</v>
      </c>
      <c r="T35" s="48">
        <f t="shared" si="17"/>
        <v>845.21739130434776</v>
      </c>
      <c r="U35" s="48">
        <f t="shared" si="17"/>
        <v>861.304347826087</v>
      </c>
      <c r="V35" s="48">
        <f t="shared" si="17"/>
        <v>877.39130434782601</v>
      </c>
      <c r="W35" s="48">
        <f t="shared" si="17"/>
        <v>893.47826086956525</v>
      </c>
      <c r="X35" s="48">
        <f t="shared" si="17"/>
        <v>909.56521739130426</v>
      </c>
      <c r="Y35" s="48">
        <f t="shared" si="17"/>
        <v>925.6521739130435</v>
      </c>
      <c r="Z35" s="48">
        <f t="shared" si="17"/>
        <v>941.73913043478251</v>
      </c>
      <c r="AA35" s="48">
        <f t="shared" si="17"/>
        <v>957.82608695652175</v>
      </c>
      <c r="AB35" s="48">
        <f t="shared" si="17"/>
        <v>973.91304347826076</v>
      </c>
      <c r="AC35" s="91">
        <v>990</v>
      </c>
      <c r="AD35" s="48">
        <f t="shared" si="17"/>
        <v>1006.0869565217391</v>
      </c>
      <c r="AE35" s="48">
        <f t="shared" si="17"/>
        <v>1022.1739130434783</v>
      </c>
      <c r="AF35" s="48">
        <f t="shared" si="18"/>
        <v>1038.2608695652175</v>
      </c>
      <c r="AG35" s="48">
        <f t="shared" si="18"/>
        <v>1054.3478260869565</v>
      </c>
      <c r="AH35" s="48">
        <f t="shared" si="18"/>
        <v>1070.4347826086955</v>
      </c>
      <c r="AI35" s="48">
        <f t="shared" si="18"/>
        <v>1086.5217391304348</v>
      </c>
      <c r="AJ35" s="48">
        <f t="shared" si="18"/>
        <v>1102.608695652174</v>
      </c>
      <c r="AK35" s="48">
        <f t="shared" si="18"/>
        <v>1118.695652173913</v>
      </c>
      <c r="AL35" s="48">
        <f t="shared" si="18"/>
        <v>1134.782608695652</v>
      </c>
      <c r="AM35" s="48">
        <f t="shared" si="18"/>
        <v>1150.8695652173913</v>
      </c>
      <c r="AN35" s="48">
        <f t="shared" si="18"/>
        <v>1166.9565217391305</v>
      </c>
      <c r="AO35" s="48">
        <f t="shared" si="18"/>
        <v>1183.0434782608695</v>
      </c>
      <c r="AP35" s="48">
        <f t="shared" si="18"/>
        <v>1199.1304347826085</v>
      </c>
      <c r="AQ35" s="48">
        <f t="shared" si="18"/>
        <v>1215.2173913043478</v>
      </c>
      <c r="AR35" s="48">
        <f t="shared" si="18"/>
        <v>1231.304347826087</v>
      </c>
    </row>
    <row r="36" spans="2:44">
      <c r="C36" t="str">
        <f>C13</f>
        <v>NB Approach - US 85</v>
      </c>
      <c r="D36" s="48">
        <f t="shared" si="19"/>
        <v>77.826086956521735</v>
      </c>
      <c r="E36" s="48">
        <f t="shared" si="19"/>
        <v>83.913043478260875</v>
      </c>
      <c r="F36" s="91">
        <v>90</v>
      </c>
      <c r="G36" s="48">
        <f t="shared" si="19"/>
        <v>96.086956521739125</v>
      </c>
      <c r="H36" s="48">
        <f t="shared" si="17"/>
        <v>102.17391304347827</v>
      </c>
      <c r="I36" s="48">
        <f t="shared" si="17"/>
        <v>108.26086956521739</v>
      </c>
      <c r="J36" s="48">
        <f t="shared" si="17"/>
        <v>114.34782608695653</v>
      </c>
      <c r="K36" s="48">
        <f t="shared" si="17"/>
        <v>120.43478260869566</v>
      </c>
      <c r="L36" s="48">
        <f t="shared" si="17"/>
        <v>126.52173913043478</v>
      </c>
      <c r="M36" s="48">
        <f t="shared" si="17"/>
        <v>132.60869565217391</v>
      </c>
      <c r="N36" s="48">
        <f t="shared" si="17"/>
        <v>138.69565217391306</v>
      </c>
      <c r="O36" s="48">
        <f t="shared" si="17"/>
        <v>144.78260869565219</v>
      </c>
      <c r="P36" s="48">
        <f t="shared" si="17"/>
        <v>150.86956521739131</v>
      </c>
      <c r="Q36" s="48">
        <f t="shared" si="17"/>
        <v>156.95652173913044</v>
      </c>
      <c r="R36" s="48">
        <f t="shared" si="17"/>
        <v>163.04347826086956</v>
      </c>
      <c r="S36" s="48">
        <f t="shared" si="17"/>
        <v>169.13043478260869</v>
      </c>
      <c r="T36" s="48">
        <f t="shared" si="17"/>
        <v>175.21739130434781</v>
      </c>
      <c r="U36" s="48">
        <f t="shared" si="17"/>
        <v>181.30434782608697</v>
      </c>
      <c r="V36" s="48">
        <f t="shared" si="17"/>
        <v>187.39130434782609</v>
      </c>
      <c r="W36" s="48">
        <f t="shared" si="17"/>
        <v>193.47826086956522</v>
      </c>
      <c r="X36" s="48">
        <f t="shared" si="17"/>
        <v>199.56521739130437</v>
      </c>
      <c r="Y36" s="48">
        <f t="shared" si="17"/>
        <v>205.6521739130435</v>
      </c>
      <c r="Z36" s="48">
        <f t="shared" si="17"/>
        <v>211.73913043478262</v>
      </c>
      <c r="AA36" s="48">
        <f t="shared" si="17"/>
        <v>217.82608695652175</v>
      </c>
      <c r="AB36" s="48">
        <f t="shared" si="17"/>
        <v>223.91304347826087</v>
      </c>
      <c r="AC36" s="91">
        <v>230</v>
      </c>
      <c r="AD36" s="48">
        <f t="shared" si="17"/>
        <v>236.08695652173913</v>
      </c>
      <c r="AE36" s="48">
        <f t="shared" si="18"/>
        <v>242.17391304347828</v>
      </c>
      <c r="AF36" s="48">
        <f t="shared" si="18"/>
        <v>248.2608695652174</v>
      </c>
      <c r="AG36" s="48">
        <f t="shared" si="18"/>
        <v>254.34782608695653</v>
      </c>
      <c r="AH36" s="48">
        <f t="shared" si="18"/>
        <v>260.43478260869563</v>
      </c>
      <c r="AI36" s="48">
        <f t="shared" si="18"/>
        <v>266.52173913043475</v>
      </c>
      <c r="AJ36" s="48">
        <f t="shared" si="18"/>
        <v>272.60869565217394</v>
      </c>
      <c r="AK36" s="48">
        <f t="shared" si="18"/>
        <v>278.69565217391306</v>
      </c>
      <c r="AL36" s="48">
        <f t="shared" si="18"/>
        <v>284.78260869565219</v>
      </c>
      <c r="AM36" s="48">
        <f t="shared" si="18"/>
        <v>290.86956521739131</v>
      </c>
      <c r="AN36" s="48">
        <f t="shared" si="18"/>
        <v>296.95652173913044</v>
      </c>
      <c r="AO36" s="48">
        <f t="shared" si="18"/>
        <v>303.04347826086962</v>
      </c>
      <c r="AP36" s="48">
        <f t="shared" si="18"/>
        <v>309.13043478260875</v>
      </c>
      <c r="AQ36" s="48">
        <f t="shared" si="18"/>
        <v>315.21739130434787</v>
      </c>
      <c r="AR36" s="48">
        <f t="shared" si="18"/>
        <v>321.304347826087</v>
      </c>
    </row>
    <row r="37" spans="2:44">
      <c r="B37" s="23" t="s">
        <v>265</v>
      </c>
      <c r="C37" s="23"/>
      <c r="D37" s="66"/>
      <c r="E37" s="66"/>
      <c r="F37" s="69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9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</row>
    <row r="38" spans="2:44" s="65" customFormat="1">
      <c r="C38" s="188" t="str">
        <f>C11</f>
        <v>EB Approach - 120th Avenue</v>
      </c>
      <c r="D38" s="65">
        <f>$F38+(($AC38-$F38)/($AC$4-$F$4))*(D$4-$F$4)</f>
        <v>16.826086956521738</v>
      </c>
      <c r="E38" s="65">
        <f>$F38+(($AC38-$F38)/($AC$4-$F$4))*(E$4-$F$4)</f>
        <v>16.913043478260871</v>
      </c>
      <c r="F38" s="70">
        <v>17</v>
      </c>
      <c r="G38" s="65">
        <f>$F38+(($AC38-$F38)/($AC$4-$F$4))*(G$4-$F$4)</f>
        <v>17.086956521739129</v>
      </c>
      <c r="H38" s="65">
        <f t="shared" si="11"/>
        <v>17.173913043478262</v>
      </c>
      <c r="I38" s="65">
        <f t="shared" si="11"/>
        <v>17.260869565217391</v>
      </c>
      <c r="J38" s="65">
        <f t="shared" si="11"/>
        <v>17.347826086956523</v>
      </c>
      <c r="K38" s="65">
        <f t="shared" si="11"/>
        <v>17.434782608695652</v>
      </c>
      <c r="L38" s="65">
        <f t="shared" si="11"/>
        <v>17.521739130434781</v>
      </c>
      <c r="M38" s="65">
        <f t="shared" si="11"/>
        <v>17.608695652173914</v>
      </c>
      <c r="N38" s="65">
        <f t="shared" si="11"/>
        <v>17.695652173913043</v>
      </c>
      <c r="O38" s="65">
        <f t="shared" si="11"/>
        <v>17.782608695652172</v>
      </c>
      <c r="P38" s="65">
        <f t="shared" si="11"/>
        <v>17.869565217391305</v>
      </c>
      <c r="Q38" s="65">
        <f t="shared" si="11"/>
        <v>17.956521739130434</v>
      </c>
      <c r="R38" s="65">
        <f t="shared" si="11"/>
        <v>18.043478260869566</v>
      </c>
      <c r="S38" s="65">
        <f t="shared" si="11"/>
        <v>18.130434782608695</v>
      </c>
      <c r="T38" s="65">
        <f t="shared" si="11"/>
        <v>18.217391304347828</v>
      </c>
      <c r="U38" s="65">
        <f t="shared" si="11"/>
        <v>18.304347826086957</v>
      </c>
      <c r="V38" s="65">
        <f t="shared" si="11"/>
        <v>18.391304347826086</v>
      </c>
      <c r="W38" s="65">
        <f t="shared" si="11"/>
        <v>18.478260869565219</v>
      </c>
      <c r="X38" s="65">
        <f t="shared" si="11"/>
        <v>18.565217391304348</v>
      </c>
      <c r="Y38" s="65">
        <f t="shared" si="11"/>
        <v>18.652173913043477</v>
      </c>
      <c r="Z38" s="65">
        <f t="shared" si="11"/>
        <v>18.739130434782609</v>
      </c>
      <c r="AA38" s="65">
        <f t="shared" si="11"/>
        <v>18.826086956521738</v>
      </c>
      <c r="AB38" s="65">
        <f t="shared" si="11"/>
        <v>18.913043478260871</v>
      </c>
      <c r="AC38" s="70">
        <v>19</v>
      </c>
      <c r="AD38" s="65">
        <f t="shared" si="11"/>
        <v>19.086956521739129</v>
      </c>
      <c r="AE38" s="65">
        <f t="shared" si="11"/>
        <v>19.173913043478262</v>
      </c>
      <c r="AF38" s="65">
        <f t="shared" si="12"/>
        <v>19.260869565217391</v>
      </c>
      <c r="AG38" s="65">
        <f t="shared" si="12"/>
        <v>19.347826086956523</v>
      </c>
      <c r="AH38" s="65">
        <f t="shared" si="12"/>
        <v>19.434782608695652</v>
      </c>
      <c r="AI38" s="65">
        <f t="shared" si="12"/>
        <v>19.521739130434781</v>
      </c>
      <c r="AJ38" s="65">
        <f t="shared" si="12"/>
        <v>19.608695652173914</v>
      </c>
      <c r="AK38" s="65">
        <f t="shared" si="12"/>
        <v>19.695652173913043</v>
      </c>
      <c r="AL38" s="65">
        <f t="shared" si="12"/>
        <v>19.782608695652172</v>
      </c>
      <c r="AM38" s="65">
        <f t="shared" si="12"/>
        <v>19.869565217391305</v>
      </c>
      <c r="AN38" s="65">
        <f t="shared" si="12"/>
        <v>19.956521739130434</v>
      </c>
      <c r="AO38" s="65">
        <f t="shared" si="12"/>
        <v>20.043478260869566</v>
      </c>
      <c r="AP38" s="65">
        <f t="shared" si="12"/>
        <v>20.130434782608695</v>
      </c>
      <c r="AQ38" s="65">
        <f t="shared" si="12"/>
        <v>20.217391304347828</v>
      </c>
      <c r="AR38" s="65">
        <f t="shared" si="12"/>
        <v>20.304347826086957</v>
      </c>
    </row>
    <row r="39" spans="2:44" s="65" customFormat="1">
      <c r="C39" s="188" t="str">
        <f>C12</f>
        <v>WB Approach - 120th Avenue</v>
      </c>
      <c r="D39" s="65">
        <f t="shared" si="13"/>
        <v>11.826086956521738</v>
      </c>
      <c r="E39" s="65">
        <f t="shared" si="13"/>
        <v>11.913043478260869</v>
      </c>
      <c r="F39" s="70">
        <v>12</v>
      </c>
      <c r="G39" s="65">
        <f t="shared" si="13"/>
        <v>12.086956521739131</v>
      </c>
      <c r="H39" s="65">
        <f t="shared" si="13"/>
        <v>12.173913043478262</v>
      </c>
      <c r="I39" s="65">
        <f t="shared" si="13"/>
        <v>12.260869565217391</v>
      </c>
      <c r="J39" s="65">
        <f t="shared" si="13"/>
        <v>12.347826086956522</v>
      </c>
      <c r="K39" s="65">
        <f t="shared" si="13"/>
        <v>12.434782608695652</v>
      </c>
      <c r="L39" s="65">
        <f t="shared" si="13"/>
        <v>12.521739130434783</v>
      </c>
      <c r="M39" s="65">
        <f t="shared" si="13"/>
        <v>12.608695652173914</v>
      </c>
      <c r="N39" s="65">
        <f t="shared" si="13"/>
        <v>12.695652173913043</v>
      </c>
      <c r="O39" s="65">
        <f t="shared" si="13"/>
        <v>12.782608695652174</v>
      </c>
      <c r="P39" s="65">
        <f t="shared" si="13"/>
        <v>12.869565217391305</v>
      </c>
      <c r="Q39" s="65">
        <f t="shared" si="13"/>
        <v>12.956521739130435</v>
      </c>
      <c r="R39" s="65">
        <f t="shared" si="13"/>
        <v>13.043478260869565</v>
      </c>
      <c r="S39" s="65">
        <f t="shared" si="13"/>
        <v>13.130434782608695</v>
      </c>
      <c r="T39" s="65">
        <f t="shared" si="11"/>
        <v>13.217391304347826</v>
      </c>
      <c r="U39" s="65">
        <f t="shared" si="11"/>
        <v>13.304347826086957</v>
      </c>
      <c r="V39" s="65">
        <f t="shared" si="11"/>
        <v>13.391304347826086</v>
      </c>
      <c r="W39" s="65">
        <f t="shared" si="11"/>
        <v>13.478260869565217</v>
      </c>
      <c r="X39" s="65">
        <f t="shared" si="11"/>
        <v>13.565217391304348</v>
      </c>
      <c r="Y39" s="65">
        <f t="shared" si="11"/>
        <v>13.652173913043478</v>
      </c>
      <c r="Z39" s="65">
        <f t="shared" si="11"/>
        <v>13.739130434782609</v>
      </c>
      <c r="AA39" s="65">
        <f t="shared" si="11"/>
        <v>13.826086956521738</v>
      </c>
      <c r="AB39" s="65">
        <f t="shared" si="11"/>
        <v>13.913043478260869</v>
      </c>
      <c r="AC39" s="70">
        <v>14</v>
      </c>
      <c r="AD39" s="65">
        <f t="shared" si="11"/>
        <v>14.086956521739131</v>
      </c>
      <c r="AE39" s="65">
        <f t="shared" si="12"/>
        <v>14.173913043478262</v>
      </c>
      <c r="AF39" s="65">
        <f t="shared" si="12"/>
        <v>14.260869565217391</v>
      </c>
      <c r="AG39" s="65">
        <f t="shared" si="12"/>
        <v>14.347826086956522</v>
      </c>
      <c r="AH39" s="65">
        <f t="shared" si="12"/>
        <v>14.434782608695652</v>
      </c>
      <c r="AI39" s="65">
        <f t="shared" si="12"/>
        <v>14.521739130434783</v>
      </c>
      <c r="AJ39" s="65">
        <f t="shared" si="12"/>
        <v>14.608695652173914</v>
      </c>
      <c r="AK39" s="65">
        <f t="shared" si="12"/>
        <v>14.695652173913043</v>
      </c>
      <c r="AL39" s="65">
        <f t="shared" si="12"/>
        <v>14.782608695652174</v>
      </c>
      <c r="AM39" s="65">
        <f t="shared" si="12"/>
        <v>14.869565217391305</v>
      </c>
      <c r="AN39" s="65">
        <f t="shared" si="12"/>
        <v>14.956521739130434</v>
      </c>
      <c r="AO39" s="65">
        <f t="shared" si="12"/>
        <v>15.043478260869565</v>
      </c>
      <c r="AP39" s="65">
        <f t="shared" si="12"/>
        <v>15.130434782608695</v>
      </c>
      <c r="AQ39" s="65">
        <f t="shared" si="12"/>
        <v>15.217391304347826</v>
      </c>
      <c r="AR39" s="65">
        <f t="shared" si="12"/>
        <v>15.304347826086957</v>
      </c>
    </row>
    <row r="40" spans="2:44" s="65" customFormat="1">
      <c r="C40" s="188" t="str">
        <f>C13</f>
        <v>NB Approach - US 85</v>
      </c>
      <c r="D40" s="65">
        <f t="shared" si="13"/>
        <v>5.8260869565217392</v>
      </c>
      <c r="E40" s="65">
        <f t="shared" si="13"/>
        <v>5.9130434782608692</v>
      </c>
      <c r="F40" s="70">
        <v>6</v>
      </c>
      <c r="G40" s="65">
        <f t="shared" si="13"/>
        <v>6.0869565217391308</v>
      </c>
      <c r="H40" s="65">
        <f t="shared" si="11"/>
        <v>6.1739130434782608</v>
      </c>
      <c r="I40" s="65">
        <f t="shared" si="11"/>
        <v>6.2608695652173916</v>
      </c>
      <c r="J40" s="65">
        <f t="shared" si="11"/>
        <v>6.3478260869565215</v>
      </c>
      <c r="K40" s="65">
        <f t="shared" si="11"/>
        <v>6.4347826086956523</v>
      </c>
      <c r="L40" s="65">
        <f t="shared" si="11"/>
        <v>6.5217391304347823</v>
      </c>
      <c r="M40" s="65">
        <f t="shared" si="11"/>
        <v>6.6086956521739131</v>
      </c>
      <c r="N40" s="65">
        <f t="shared" si="11"/>
        <v>6.695652173913043</v>
      </c>
      <c r="O40" s="65">
        <f t="shared" si="11"/>
        <v>6.7826086956521738</v>
      </c>
      <c r="P40" s="65">
        <f t="shared" si="11"/>
        <v>6.8695652173913047</v>
      </c>
      <c r="Q40" s="65">
        <f t="shared" si="11"/>
        <v>6.9565217391304346</v>
      </c>
      <c r="R40" s="65">
        <f t="shared" si="11"/>
        <v>7.0434782608695654</v>
      </c>
      <c r="S40" s="65">
        <f t="shared" si="11"/>
        <v>7.1304347826086953</v>
      </c>
      <c r="T40" s="65">
        <f t="shared" si="11"/>
        <v>7.2173913043478262</v>
      </c>
      <c r="U40" s="65">
        <f t="shared" si="11"/>
        <v>7.304347826086957</v>
      </c>
      <c r="V40" s="65">
        <f t="shared" si="11"/>
        <v>7.3913043478260869</v>
      </c>
      <c r="W40" s="65">
        <f t="shared" si="11"/>
        <v>7.4782608695652169</v>
      </c>
      <c r="X40" s="65">
        <f t="shared" si="11"/>
        <v>7.5652173913043477</v>
      </c>
      <c r="Y40" s="65">
        <f t="shared" si="11"/>
        <v>7.6521739130434785</v>
      </c>
      <c r="Z40" s="65">
        <f t="shared" si="11"/>
        <v>7.7391304347826084</v>
      </c>
      <c r="AA40" s="65">
        <f t="shared" si="11"/>
        <v>7.8260869565217392</v>
      </c>
      <c r="AB40" s="65">
        <f t="shared" si="11"/>
        <v>7.9130434782608692</v>
      </c>
      <c r="AC40" s="70">
        <v>8</v>
      </c>
      <c r="AD40" s="65">
        <f t="shared" si="11"/>
        <v>8.0869565217391308</v>
      </c>
      <c r="AE40" s="65">
        <f t="shared" si="12"/>
        <v>8.1739130434782616</v>
      </c>
      <c r="AF40" s="65">
        <f t="shared" si="12"/>
        <v>8.2608695652173907</v>
      </c>
      <c r="AG40" s="65">
        <f t="shared" si="12"/>
        <v>8.3478260869565215</v>
      </c>
      <c r="AH40" s="65">
        <f t="shared" si="12"/>
        <v>8.4347826086956523</v>
      </c>
      <c r="AI40" s="65">
        <f t="shared" si="12"/>
        <v>8.5217391304347831</v>
      </c>
      <c r="AJ40" s="65">
        <f t="shared" si="12"/>
        <v>8.608695652173914</v>
      </c>
      <c r="AK40" s="65">
        <f t="shared" si="12"/>
        <v>8.695652173913043</v>
      </c>
      <c r="AL40" s="65">
        <f t="shared" si="12"/>
        <v>8.7826086956521738</v>
      </c>
      <c r="AM40" s="65">
        <f t="shared" si="12"/>
        <v>8.8695652173913047</v>
      </c>
      <c r="AN40" s="65">
        <f t="shared" si="12"/>
        <v>8.9565217391304337</v>
      </c>
      <c r="AO40" s="65">
        <f t="shared" si="12"/>
        <v>9.0434782608695645</v>
      </c>
      <c r="AP40" s="65">
        <f t="shared" si="12"/>
        <v>9.1304347826086953</v>
      </c>
      <c r="AQ40" s="65">
        <f t="shared" si="12"/>
        <v>9.2173913043478262</v>
      </c>
      <c r="AR40" s="65">
        <f t="shared" si="12"/>
        <v>9.304347826086957</v>
      </c>
    </row>
    <row r="41" spans="2:44" s="65" customFormat="1">
      <c r="C41" s="189" t="s">
        <v>266</v>
      </c>
      <c r="D41" s="185">
        <f t="shared" ref="D41:E41" si="20">((D34*D38)+(D35*D39)+(D36*D40))/3600</f>
        <v>4.8938353287124556</v>
      </c>
      <c r="E41" s="185">
        <f t="shared" si="20"/>
        <v>5.1593887838689358</v>
      </c>
      <c r="F41" s="70">
        <f>((F34*F38)+(F35*F39)+(F36*F40))/3600</f>
        <v>5.427777777777778</v>
      </c>
      <c r="G41" s="185">
        <f t="shared" ref="G41:AA41" si="21">((G34*G38)+(G35*G39)+(G36*G40))/3600</f>
        <v>5.6990023104389831</v>
      </c>
      <c r="H41" s="185">
        <f t="shared" si="21"/>
        <v>5.9730623818525519</v>
      </c>
      <c r="I41" s="185">
        <f t="shared" si="21"/>
        <v>6.2499579920184836</v>
      </c>
      <c r="J41" s="185">
        <f t="shared" si="21"/>
        <v>6.5296891409367781</v>
      </c>
      <c r="K41" s="185">
        <f t="shared" si="21"/>
        <v>6.8122558286074355</v>
      </c>
      <c r="L41" s="185">
        <f t="shared" si="21"/>
        <v>7.0976580550304558</v>
      </c>
      <c r="M41" s="185">
        <f t="shared" si="21"/>
        <v>7.3858958202058398</v>
      </c>
      <c r="N41" s="185">
        <f t="shared" si="21"/>
        <v>7.6769691241335849</v>
      </c>
      <c r="O41" s="185">
        <f t="shared" si="21"/>
        <v>7.9708779668136938</v>
      </c>
      <c r="P41" s="185">
        <f t="shared" si="21"/>
        <v>8.2676223482461655</v>
      </c>
      <c r="Q41" s="185">
        <f t="shared" si="21"/>
        <v>8.5672022684310019</v>
      </c>
      <c r="R41" s="185">
        <f t="shared" si="21"/>
        <v>8.8696177273681993</v>
      </c>
      <c r="S41" s="185">
        <f t="shared" si="21"/>
        <v>9.1748687250577596</v>
      </c>
      <c r="T41" s="185">
        <f t="shared" si="21"/>
        <v>9.4829552614996846</v>
      </c>
      <c r="U41" s="185">
        <f t="shared" si="21"/>
        <v>9.7938773366939724</v>
      </c>
      <c r="V41" s="185">
        <f t="shared" si="21"/>
        <v>10.10763495064062</v>
      </c>
      <c r="W41" s="185">
        <f t="shared" si="21"/>
        <v>10.424228103339635</v>
      </c>
      <c r="X41" s="185">
        <f t="shared" si="21"/>
        <v>10.74365679479101</v>
      </c>
      <c r="Y41" s="185">
        <f t="shared" si="21"/>
        <v>11.065921024994751</v>
      </c>
      <c r="Z41" s="185">
        <f t="shared" si="21"/>
        <v>11.391020793950849</v>
      </c>
      <c r="AA41" s="185">
        <f t="shared" si="21"/>
        <v>11.718956101659314</v>
      </c>
      <c r="AB41" s="185">
        <f>((AB34*AB38)+(AB35*AB39)+(AB36*AB40))/3600</f>
        <v>12.049726948120142</v>
      </c>
      <c r="AC41" s="70">
        <f>((AC34*AC38)+(AC35*AC39)+(AC36*AC40))/3600</f>
        <v>12.383333333333333</v>
      </c>
      <c r="AD41" s="185">
        <f>((AD34*AD38)+(AD35*AD39)+(AD36*AD40))/3600</f>
        <v>12.719775257298888</v>
      </c>
      <c r="AE41" s="185">
        <f t="shared" ref="AE41:AP41" si="22">((AE34*AE38)+(AE35*AE39)+(AE36*AE40))/3600</f>
        <v>13.059052720016803</v>
      </c>
      <c r="AF41" s="185">
        <f t="shared" si="22"/>
        <v>13.401165721487082</v>
      </c>
      <c r="AG41" s="185">
        <f t="shared" si="22"/>
        <v>13.746114261709723</v>
      </c>
      <c r="AH41" s="185">
        <f t="shared" si="22"/>
        <v>14.093898340684728</v>
      </c>
      <c r="AI41" s="185">
        <f t="shared" si="22"/>
        <v>14.444517958412099</v>
      </c>
      <c r="AJ41" s="185">
        <f t="shared" si="22"/>
        <v>14.797973114891832</v>
      </c>
      <c r="AK41" s="185">
        <f t="shared" si="22"/>
        <v>15.15426381012392</v>
      </c>
      <c r="AL41" s="185">
        <f t="shared" si="22"/>
        <v>15.51339004410838</v>
      </c>
      <c r="AM41" s="185">
        <f t="shared" si="22"/>
        <v>15.875351816845201</v>
      </c>
      <c r="AN41" s="185">
        <f t="shared" si="22"/>
        <v>16.240149128334384</v>
      </c>
      <c r="AO41" s="185">
        <f t="shared" si="22"/>
        <v>16.607781978575929</v>
      </c>
      <c r="AP41" s="185">
        <f t="shared" si="22"/>
        <v>16.978250367569839</v>
      </c>
      <c r="AR41" s="185">
        <f t="shared" ref="AR41" si="23">((AR34*AR38)+(AR35*AR39)+(AR36*AR40))/3600</f>
        <v>17.727693761814749</v>
      </c>
    </row>
    <row r="42" spans="2:44"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</row>
    <row r="43" spans="2:44" s="65" customFormat="1">
      <c r="C43" s="187" t="str">
        <f>"PREFERRED (With "&amp;'BCA Summary'!$E$1&amp;" Grant) AM Peak Hour Total Vehicular Delay, hrs"</f>
        <v>PREFERRED (With BUILD Grant Grant) AM Peak Hour Total Vehicular Delay, hrs</v>
      </c>
      <c r="D43" s="65">
        <f t="shared" si="13"/>
        <v>10.922705314009663</v>
      </c>
      <c r="E43" s="65">
        <f t="shared" si="13"/>
        <v>11.500241545893722</v>
      </c>
      <c r="F43" s="70">
        <f>F31+F41</f>
        <v>12.077777777777779</v>
      </c>
      <c r="G43" s="65">
        <f t="shared" si="13"/>
        <v>12.655314009661836</v>
      </c>
      <c r="H43" s="65">
        <f t="shared" si="11"/>
        <v>13.232850241545895</v>
      </c>
      <c r="I43" s="65">
        <f t="shared" si="11"/>
        <v>13.810386473429952</v>
      </c>
      <c r="J43" s="65">
        <f t="shared" si="11"/>
        <v>14.387922705314011</v>
      </c>
      <c r="K43" s="65">
        <f t="shared" si="11"/>
        <v>14.965458937198068</v>
      </c>
      <c r="L43" s="65">
        <f t="shared" si="11"/>
        <v>15.542995169082126</v>
      </c>
      <c r="M43" s="65">
        <f t="shared" si="11"/>
        <v>16.120531400966186</v>
      </c>
      <c r="N43" s="65">
        <f t="shared" si="11"/>
        <v>16.698067632850243</v>
      </c>
      <c r="O43" s="65">
        <f t="shared" si="11"/>
        <v>17.2756038647343</v>
      </c>
      <c r="P43" s="65">
        <f t="shared" si="11"/>
        <v>17.853140096618358</v>
      </c>
      <c r="Q43" s="65">
        <f t="shared" si="11"/>
        <v>18.430676328502415</v>
      </c>
      <c r="R43" s="65">
        <f t="shared" si="11"/>
        <v>19.008212560386475</v>
      </c>
      <c r="S43" s="65">
        <f t="shared" si="11"/>
        <v>19.585748792270532</v>
      </c>
      <c r="T43" s="65">
        <f t="shared" si="11"/>
        <v>20.16328502415459</v>
      </c>
      <c r="U43" s="65">
        <f t="shared" si="11"/>
        <v>20.74082125603865</v>
      </c>
      <c r="V43" s="65">
        <f t="shared" si="11"/>
        <v>21.318357487922704</v>
      </c>
      <c r="W43" s="65">
        <f t="shared" si="11"/>
        <v>21.895893719806764</v>
      </c>
      <c r="X43" s="65">
        <f t="shared" si="11"/>
        <v>22.473429951690822</v>
      </c>
      <c r="Y43" s="65">
        <f t="shared" si="11"/>
        <v>23.050966183574879</v>
      </c>
      <c r="Z43" s="65">
        <f t="shared" si="11"/>
        <v>23.628502415458939</v>
      </c>
      <c r="AA43" s="65">
        <f t="shared" si="11"/>
        <v>24.206038647342993</v>
      </c>
      <c r="AB43" s="65">
        <f t="shared" si="11"/>
        <v>24.783574879227054</v>
      </c>
      <c r="AC43" s="70">
        <f>AC31+AC41</f>
        <v>25.361111111111111</v>
      </c>
      <c r="AD43" s="65">
        <f t="shared" si="11"/>
        <v>25.938647342995168</v>
      </c>
      <c r="AE43" s="65">
        <f t="shared" si="12"/>
        <v>26.516183574879229</v>
      </c>
      <c r="AF43" s="65">
        <f t="shared" si="12"/>
        <v>27.093719806763282</v>
      </c>
      <c r="AG43" s="65">
        <f t="shared" si="12"/>
        <v>27.671256038647343</v>
      </c>
      <c r="AH43" s="65">
        <f t="shared" si="12"/>
        <v>28.2487922705314</v>
      </c>
      <c r="AI43" s="65">
        <f t="shared" si="12"/>
        <v>28.826328502415457</v>
      </c>
      <c r="AJ43" s="65">
        <f t="shared" si="12"/>
        <v>29.403864734299518</v>
      </c>
      <c r="AK43" s="65">
        <f t="shared" si="12"/>
        <v>29.981400966183575</v>
      </c>
      <c r="AL43" s="65">
        <f t="shared" si="12"/>
        <v>30.558937198067632</v>
      </c>
      <c r="AM43" s="65">
        <f t="shared" si="12"/>
        <v>31.136473429951689</v>
      </c>
      <c r="AN43" s="65">
        <f t="shared" si="12"/>
        <v>31.714009661835746</v>
      </c>
      <c r="AO43" s="65">
        <f t="shared" si="12"/>
        <v>32.291545893719807</v>
      </c>
      <c r="AP43" s="65">
        <f t="shared" si="12"/>
        <v>32.869082125603867</v>
      </c>
      <c r="AQ43" s="65">
        <f t="shared" si="12"/>
        <v>33.446618357487921</v>
      </c>
      <c r="AR43" s="65">
        <f t="shared" si="12"/>
        <v>34.024154589371975</v>
      </c>
    </row>
    <row r="45" spans="2:44" s="23" customFormat="1">
      <c r="B45" s="23" t="s">
        <v>71</v>
      </c>
      <c r="D45" s="68"/>
      <c r="E45" s="68"/>
      <c r="F45" s="69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9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</row>
    <row r="46" spans="2:44">
      <c r="C46" s="90" t="s">
        <v>258</v>
      </c>
      <c r="D46" s="48">
        <f>$F46+(($AC46-$F46)/($AC$4-$F$4))*(D$4-$F$4)</f>
        <v>847.39130434782612</v>
      </c>
      <c r="E46" s="48">
        <f>$F46+(($AC46-$F46)/($AC$4-$F$4))*(E$4-$F$4)</f>
        <v>858.695652173913</v>
      </c>
      <c r="F46" s="155">
        <v>870</v>
      </c>
      <c r="G46" s="48">
        <f>$F46+(($AC46-$F46)/($AC$4-$F$4))*(G$4-$F$4)</f>
        <v>881.304347826087</v>
      </c>
      <c r="H46" s="48">
        <f t="shared" ref="H46:AE49" si="24">$F46+(($AC46-$F46)/($AC$4-$F$4))*(H$4-$F$4)</f>
        <v>892.60869565217388</v>
      </c>
      <c r="I46" s="48">
        <f t="shared" si="24"/>
        <v>903.91304347826087</v>
      </c>
      <c r="J46" s="48">
        <f t="shared" si="24"/>
        <v>915.21739130434787</v>
      </c>
      <c r="K46" s="48">
        <f t="shared" si="24"/>
        <v>926.52173913043475</v>
      </c>
      <c r="L46" s="48">
        <f t="shared" si="24"/>
        <v>937.82608695652175</v>
      </c>
      <c r="M46" s="48">
        <f t="shared" si="24"/>
        <v>949.13043478260875</v>
      </c>
      <c r="N46" s="48">
        <f t="shared" si="24"/>
        <v>960.43478260869563</v>
      </c>
      <c r="O46" s="48">
        <f t="shared" si="24"/>
        <v>971.73913043478262</v>
      </c>
      <c r="P46" s="48">
        <f t="shared" si="24"/>
        <v>983.04347826086951</v>
      </c>
      <c r="Q46" s="48">
        <f t="shared" si="24"/>
        <v>994.3478260869565</v>
      </c>
      <c r="R46" s="48">
        <f t="shared" si="24"/>
        <v>1005.6521739130435</v>
      </c>
      <c r="S46" s="48">
        <f t="shared" si="24"/>
        <v>1016.9565217391305</v>
      </c>
      <c r="T46" s="48">
        <f t="shared" si="24"/>
        <v>1028.2608695652175</v>
      </c>
      <c r="U46" s="48">
        <f t="shared" si="24"/>
        <v>1039.5652173913043</v>
      </c>
      <c r="V46" s="48">
        <f t="shared" si="24"/>
        <v>1050.8695652173913</v>
      </c>
      <c r="W46" s="48">
        <f t="shared" si="24"/>
        <v>1062.1739130434783</v>
      </c>
      <c r="X46" s="48">
        <f t="shared" si="24"/>
        <v>1073.4782608695652</v>
      </c>
      <c r="Y46" s="48">
        <f t="shared" si="24"/>
        <v>1084.7826086956522</v>
      </c>
      <c r="Z46" s="48">
        <f t="shared" si="24"/>
        <v>1096.086956521739</v>
      </c>
      <c r="AA46" s="48">
        <f t="shared" si="24"/>
        <v>1107.391304347826</v>
      </c>
      <c r="AB46" s="48">
        <f t="shared" si="24"/>
        <v>1118.695652173913</v>
      </c>
      <c r="AC46" s="155">
        <v>1130</v>
      </c>
      <c r="AD46" s="48">
        <f>$F46+(($AC46-$F46)/($AC$4-$F$4))*(AD$4-$F$4)</f>
        <v>1141.304347826087</v>
      </c>
      <c r="AE46" s="48">
        <f t="shared" ref="AE46:AR49" si="25">$F46+(($AC46-$F46)/($AC$4-$F$4))*(AE$4-$F$4)</f>
        <v>1152.608695652174</v>
      </c>
      <c r="AF46" s="48">
        <f t="shared" si="25"/>
        <v>1163.913043478261</v>
      </c>
      <c r="AG46" s="48">
        <f t="shared" si="25"/>
        <v>1175.2173913043478</v>
      </c>
      <c r="AH46" s="48">
        <f t="shared" si="25"/>
        <v>1186.5217391304348</v>
      </c>
      <c r="AI46" s="48">
        <f t="shared" si="25"/>
        <v>1197.8260869565217</v>
      </c>
      <c r="AJ46" s="48">
        <f t="shared" si="25"/>
        <v>1209.1304347826087</v>
      </c>
      <c r="AK46" s="48">
        <f t="shared" si="25"/>
        <v>1220.4347826086957</v>
      </c>
      <c r="AL46" s="48">
        <f t="shared" si="25"/>
        <v>1231.7391304347825</v>
      </c>
      <c r="AM46" s="48">
        <f t="shared" si="25"/>
        <v>1243.0434782608695</v>
      </c>
      <c r="AN46" s="48">
        <f t="shared" si="25"/>
        <v>1254.3478260869565</v>
      </c>
      <c r="AO46" s="48">
        <f t="shared" si="25"/>
        <v>1265.6521739130435</v>
      </c>
      <c r="AP46" s="48">
        <f t="shared" si="25"/>
        <v>1276.9565217391305</v>
      </c>
      <c r="AQ46" s="48">
        <f t="shared" si="25"/>
        <v>1288.2608695652175</v>
      </c>
      <c r="AR46" s="48">
        <f t="shared" si="25"/>
        <v>1299.5652173913045</v>
      </c>
    </row>
    <row r="47" spans="2:44">
      <c r="C47" s="90" t="s">
        <v>259</v>
      </c>
      <c r="D47" s="48">
        <f t="shared" ref="D47:S49" si="26">$F47+(($AC47-$F47)/($AC$4-$F$4))*(D$4-$F$4)</f>
        <v>783.47826086956525</v>
      </c>
      <c r="E47" s="48">
        <f t="shared" si="26"/>
        <v>771.73913043478262</v>
      </c>
      <c r="F47" s="155">
        <v>760</v>
      </c>
      <c r="G47" s="48">
        <f t="shared" si="26"/>
        <v>748.26086956521738</v>
      </c>
      <c r="H47" s="48">
        <f t="shared" si="26"/>
        <v>736.52173913043475</v>
      </c>
      <c r="I47" s="48">
        <f t="shared" si="26"/>
        <v>724.78260869565213</v>
      </c>
      <c r="J47" s="48">
        <f t="shared" si="26"/>
        <v>713.04347826086951</v>
      </c>
      <c r="K47" s="48">
        <f t="shared" si="26"/>
        <v>701.304347826087</v>
      </c>
      <c r="L47" s="48">
        <f t="shared" si="26"/>
        <v>689.56521739130437</v>
      </c>
      <c r="M47" s="48">
        <f t="shared" si="26"/>
        <v>677.82608695652175</v>
      </c>
      <c r="N47" s="48">
        <f t="shared" si="26"/>
        <v>666.08695652173913</v>
      </c>
      <c r="O47" s="48">
        <f t="shared" si="26"/>
        <v>654.3478260869565</v>
      </c>
      <c r="P47" s="48">
        <f t="shared" si="26"/>
        <v>642.60869565217388</v>
      </c>
      <c r="Q47" s="48">
        <f t="shared" si="26"/>
        <v>630.86956521739125</v>
      </c>
      <c r="R47" s="48">
        <f t="shared" si="26"/>
        <v>619.13043478260875</v>
      </c>
      <c r="S47" s="48">
        <f t="shared" si="26"/>
        <v>607.39130434782601</v>
      </c>
      <c r="T47" s="48">
        <f t="shared" si="24"/>
        <v>595.6521739130435</v>
      </c>
      <c r="U47" s="48">
        <f t="shared" si="24"/>
        <v>583.91304347826087</v>
      </c>
      <c r="V47" s="48">
        <f t="shared" si="24"/>
        <v>572.17391304347825</v>
      </c>
      <c r="W47" s="48">
        <f t="shared" si="24"/>
        <v>560.43478260869563</v>
      </c>
      <c r="X47" s="48">
        <f t="shared" si="24"/>
        <v>548.695652173913</v>
      </c>
      <c r="Y47" s="48">
        <f t="shared" si="24"/>
        <v>536.95652173913049</v>
      </c>
      <c r="Z47" s="48">
        <f t="shared" si="24"/>
        <v>525.21739130434776</v>
      </c>
      <c r="AA47" s="48">
        <f t="shared" si="24"/>
        <v>513.47826086956525</v>
      </c>
      <c r="AB47" s="48">
        <f t="shared" si="24"/>
        <v>501.73913043478262</v>
      </c>
      <c r="AC47" s="155">
        <v>490</v>
      </c>
      <c r="AD47" s="48">
        <f t="shared" si="24"/>
        <v>478.26086956521738</v>
      </c>
      <c r="AE47" s="48">
        <f t="shared" si="24"/>
        <v>466.52173913043475</v>
      </c>
      <c r="AF47" s="48">
        <f t="shared" si="25"/>
        <v>454.78260869565213</v>
      </c>
      <c r="AG47" s="48">
        <f t="shared" si="25"/>
        <v>443.04347826086956</v>
      </c>
      <c r="AH47" s="48">
        <f t="shared" si="25"/>
        <v>431.30434782608694</v>
      </c>
      <c r="AI47" s="48">
        <f t="shared" si="25"/>
        <v>419.56521739130432</v>
      </c>
      <c r="AJ47" s="48">
        <f t="shared" si="25"/>
        <v>407.82608695652175</v>
      </c>
      <c r="AK47" s="48">
        <f t="shared" si="25"/>
        <v>396.08695652173913</v>
      </c>
      <c r="AL47" s="48">
        <f t="shared" si="25"/>
        <v>384.3478260869565</v>
      </c>
      <c r="AM47" s="48">
        <f t="shared" si="25"/>
        <v>372.60869565217388</v>
      </c>
      <c r="AN47" s="48">
        <f t="shared" si="25"/>
        <v>360.86956521739125</v>
      </c>
      <c r="AO47" s="48">
        <f t="shared" si="25"/>
        <v>349.13043478260869</v>
      </c>
      <c r="AP47" s="48">
        <f t="shared" si="25"/>
        <v>337.39130434782606</v>
      </c>
      <c r="AQ47" s="48">
        <f t="shared" si="25"/>
        <v>325.65217391304344</v>
      </c>
      <c r="AR47" s="48">
        <f t="shared" si="25"/>
        <v>313.91304347826087</v>
      </c>
    </row>
    <row r="48" spans="2:44">
      <c r="C48" s="90" t="s">
        <v>260</v>
      </c>
      <c r="D48" s="48">
        <f t="shared" si="26"/>
        <v>1097.8260869565217</v>
      </c>
      <c r="E48" s="48">
        <f t="shared" si="26"/>
        <v>1123.9130434782608</v>
      </c>
      <c r="F48" s="155">
        <v>1150</v>
      </c>
      <c r="G48" s="48">
        <f t="shared" si="26"/>
        <v>1176.0869565217392</v>
      </c>
      <c r="H48" s="48">
        <f t="shared" si="24"/>
        <v>1202.1739130434783</v>
      </c>
      <c r="I48" s="48">
        <f t="shared" si="24"/>
        <v>1228.2608695652175</v>
      </c>
      <c r="J48" s="48">
        <f t="shared" si="24"/>
        <v>1254.3478260869565</v>
      </c>
      <c r="K48" s="48">
        <f t="shared" si="24"/>
        <v>1280.4347826086957</v>
      </c>
      <c r="L48" s="48">
        <f t="shared" si="24"/>
        <v>1306.5217391304348</v>
      </c>
      <c r="M48" s="48">
        <f t="shared" si="24"/>
        <v>1332.608695652174</v>
      </c>
      <c r="N48" s="48">
        <f t="shared" si="24"/>
        <v>1358.695652173913</v>
      </c>
      <c r="O48" s="48">
        <f t="shared" si="24"/>
        <v>1384.7826086956522</v>
      </c>
      <c r="P48" s="48">
        <f t="shared" si="24"/>
        <v>1410.8695652173913</v>
      </c>
      <c r="Q48" s="48">
        <f t="shared" si="24"/>
        <v>1436.9565217391305</v>
      </c>
      <c r="R48" s="48">
        <f t="shared" si="24"/>
        <v>1463.0434782608695</v>
      </c>
      <c r="S48" s="48">
        <f t="shared" si="24"/>
        <v>1489.1304347826087</v>
      </c>
      <c r="T48" s="48">
        <f t="shared" si="24"/>
        <v>1515.2173913043478</v>
      </c>
      <c r="U48" s="48">
        <f t="shared" si="24"/>
        <v>1541.304347826087</v>
      </c>
      <c r="V48" s="48">
        <f t="shared" si="24"/>
        <v>1567.391304347826</v>
      </c>
      <c r="W48" s="48">
        <f t="shared" si="24"/>
        <v>1593.4782608695652</v>
      </c>
      <c r="X48" s="48">
        <f t="shared" si="24"/>
        <v>1619.5652173913043</v>
      </c>
      <c r="Y48" s="48">
        <f t="shared" si="24"/>
        <v>1645.6521739130435</v>
      </c>
      <c r="Z48" s="48">
        <f t="shared" si="24"/>
        <v>1671.7391304347825</v>
      </c>
      <c r="AA48" s="48">
        <f t="shared" si="24"/>
        <v>1697.8260869565217</v>
      </c>
      <c r="AB48" s="48">
        <f t="shared" si="24"/>
        <v>1723.913043478261</v>
      </c>
      <c r="AC48" s="155">
        <v>1750</v>
      </c>
      <c r="AD48" s="48">
        <f t="shared" si="24"/>
        <v>1776.086956521739</v>
      </c>
      <c r="AE48" s="48">
        <f t="shared" si="25"/>
        <v>1802.1739130434783</v>
      </c>
      <c r="AF48" s="48">
        <f t="shared" si="25"/>
        <v>1828.2608695652175</v>
      </c>
      <c r="AG48" s="48">
        <f t="shared" si="25"/>
        <v>1854.3478260869565</v>
      </c>
      <c r="AH48" s="48">
        <f t="shared" si="25"/>
        <v>1880.4347826086955</v>
      </c>
      <c r="AI48" s="48">
        <f t="shared" si="25"/>
        <v>1906.5217391304348</v>
      </c>
      <c r="AJ48" s="48">
        <f t="shared" si="25"/>
        <v>1932.608695652174</v>
      </c>
      <c r="AK48" s="48">
        <f t="shared" si="25"/>
        <v>1958.695652173913</v>
      </c>
      <c r="AL48" s="48">
        <f t="shared" si="25"/>
        <v>1984.782608695652</v>
      </c>
      <c r="AM48" s="48">
        <f t="shared" si="25"/>
        <v>2010.8695652173913</v>
      </c>
      <c r="AN48" s="48">
        <f t="shared" si="25"/>
        <v>2036.9565217391305</v>
      </c>
      <c r="AO48" s="48">
        <f t="shared" si="25"/>
        <v>2063.0434782608695</v>
      </c>
      <c r="AP48" s="48">
        <f t="shared" si="25"/>
        <v>2089.1304347826085</v>
      </c>
      <c r="AQ48" s="48">
        <f t="shared" si="25"/>
        <v>2115.217391304348</v>
      </c>
      <c r="AR48" s="48">
        <f t="shared" si="25"/>
        <v>2141.304347826087</v>
      </c>
    </row>
    <row r="49" spans="2:44">
      <c r="C49" s="90" t="s">
        <v>261</v>
      </c>
      <c r="D49" s="48">
        <f t="shared" si="26"/>
        <v>964.78260869565213</v>
      </c>
      <c r="E49" s="48">
        <f t="shared" si="26"/>
        <v>997.39130434782612</v>
      </c>
      <c r="F49" s="155">
        <v>1030</v>
      </c>
      <c r="G49" s="48">
        <f t="shared" si="26"/>
        <v>1062.608695652174</v>
      </c>
      <c r="H49" s="48">
        <f t="shared" si="24"/>
        <v>1095.2173913043478</v>
      </c>
      <c r="I49" s="48">
        <f t="shared" si="24"/>
        <v>1127.8260869565217</v>
      </c>
      <c r="J49" s="48">
        <f t="shared" si="24"/>
        <v>1160.4347826086957</v>
      </c>
      <c r="K49" s="48">
        <f t="shared" si="24"/>
        <v>1193.0434782608695</v>
      </c>
      <c r="L49" s="48">
        <f t="shared" si="24"/>
        <v>1225.6521739130435</v>
      </c>
      <c r="M49" s="48">
        <f t="shared" si="24"/>
        <v>1258.2608695652175</v>
      </c>
      <c r="N49" s="48">
        <f t="shared" si="24"/>
        <v>1290.8695652173913</v>
      </c>
      <c r="O49" s="48">
        <f t="shared" si="24"/>
        <v>1323.4782608695652</v>
      </c>
      <c r="P49" s="48">
        <f t="shared" si="24"/>
        <v>1356.086956521739</v>
      </c>
      <c r="Q49" s="48">
        <f t="shared" si="24"/>
        <v>1388.695652173913</v>
      </c>
      <c r="R49" s="48">
        <f t="shared" si="24"/>
        <v>1421.304347826087</v>
      </c>
      <c r="S49" s="48">
        <f t="shared" si="24"/>
        <v>1453.913043478261</v>
      </c>
      <c r="T49" s="48">
        <f t="shared" si="24"/>
        <v>1486.5217391304348</v>
      </c>
      <c r="U49" s="48">
        <f t="shared" si="24"/>
        <v>1519.1304347826087</v>
      </c>
      <c r="V49" s="48">
        <f t="shared" si="24"/>
        <v>1551.7391304347825</v>
      </c>
      <c r="W49" s="48">
        <f t="shared" si="24"/>
        <v>1584.3478260869565</v>
      </c>
      <c r="X49" s="48">
        <f t="shared" si="24"/>
        <v>1616.9565217391305</v>
      </c>
      <c r="Y49" s="48">
        <f t="shared" si="24"/>
        <v>1649.5652173913045</v>
      </c>
      <c r="Z49" s="48">
        <f t="shared" si="24"/>
        <v>1682.1739130434783</v>
      </c>
      <c r="AA49" s="48">
        <f t="shared" si="24"/>
        <v>1714.7826086956522</v>
      </c>
      <c r="AB49" s="48">
        <f t="shared" si="24"/>
        <v>1747.391304347826</v>
      </c>
      <c r="AC49" s="155">
        <v>1780</v>
      </c>
      <c r="AD49" s="48">
        <f t="shared" si="24"/>
        <v>1812.608695652174</v>
      </c>
      <c r="AE49" s="48">
        <f t="shared" si="25"/>
        <v>1845.217391304348</v>
      </c>
      <c r="AF49" s="48">
        <f t="shared" si="25"/>
        <v>1877.8260869565217</v>
      </c>
      <c r="AG49" s="48">
        <f t="shared" si="25"/>
        <v>1910.4347826086955</v>
      </c>
      <c r="AH49" s="48">
        <f t="shared" si="25"/>
        <v>1943.0434782608695</v>
      </c>
      <c r="AI49" s="48">
        <f t="shared" si="25"/>
        <v>1975.6521739130435</v>
      </c>
      <c r="AJ49" s="48">
        <f t="shared" si="25"/>
        <v>2008.2608695652175</v>
      </c>
      <c r="AK49" s="48">
        <f t="shared" si="25"/>
        <v>2040.8695652173915</v>
      </c>
      <c r="AL49" s="48">
        <f t="shared" si="25"/>
        <v>2073.478260869565</v>
      </c>
      <c r="AM49" s="48">
        <f t="shared" si="25"/>
        <v>2106.086956521739</v>
      </c>
      <c r="AN49" s="48">
        <f t="shared" si="25"/>
        <v>2138.695652173913</v>
      </c>
      <c r="AO49" s="48">
        <f t="shared" si="25"/>
        <v>2171.304347826087</v>
      </c>
      <c r="AP49" s="48">
        <f t="shared" si="25"/>
        <v>2203.913043478261</v>
      </c>
      <c r="AQ49" s="48">
        <f t="shared" si="25"/>
        <v>2236.521739130435</v>
      </c>
      <c r="AR49" s="48">
        <f t="shared" si="25"/>
        <v>2269.130434782609</v>
      </c>
    </row>
    <row r="50" spans="2:44">
      <c r="B50" s="23" t="s">
        <v>70</v>
      </c>
      <c r="C50" s="23"/>
      <c r="D50" s="66"/>
      <c r="E50" s="66"/>
      <c r="F50" s="67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7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</row>
    <row r="51" spans="2:44" s="65" customFormat="1">
      <c r="C51" s="188" t="str">
        <f>C46</f>
        <v>EB Approach - 120th Avenue</v>
      </c>
      <c r="D51" s="65">
        <f>$F51+(($AC51-$F51)/($AC$4-$F$4))*(D$4-$F$4)</f>
        <v>67.956521739130437</v>
      </c>
      <c r="E51" s="65">
        <f>$F51+(($AC51-$F51)/($AC$4-$F$4))*(E$4-$F$4)</f>
        <v>74.478260869565219</v>
      </c>
      <c r="F51" s="156">
        <v>81</v>
      </c>
      <c r="G51" s="65">
        <f>$F51+(($AC51-$F51)/($AC$4-$F$4))*(G$4-$F$4)</f>
        <v>87.521739130434781</v>
      </c>
      <c r="H51" s="65">
        <f t="shared" ref="H51:AE56" si="27">$F51+(($AC51-$F51)/($AC$4-$F$4))*(H$4-$F$4)</f>
        <v>94.043478260869563</v>
      </c>
      <c r="I51" s="65">
        <f t="shared" si="27"/>
        <v>100.56521739130434</v>
      </c>
      <c r="J51" s="65">
        <f t="shared" si="27"/>
        <v>107.08695652173913</v>
      </c>
      <c r="K51" s="65">
        <f t="shared" si="27"/>
        <v>113.60869565217391</v>
      </c>
      <c r="L51" s="65">
        <f t="shared" si="27"/>
        <v>120.13043478260869</v>
      </c>
      <c r="M51" s="65">
        <f t="shared" si="27"/>
        <v>126.65217391304347</v>
      </c>
      <c r="N51" s="65">
        <f t="shared" si="27"/>
        <v>133.17391304347825</v>
      </c>
      <c r="O51" s="65">
        <f t="shared" si="27"/>
        <v>139.69565217391303</v>
      </c>
      <c r="P51" s="65">
        <f t="shared" si="27"/>
        <v>146.21739130434781</v>
      </c>
      <c r="Q51" s="65">
        <f t="shared" si="27"/>
        <v>152.73913043478262</v>
      </c>
      <c r="R51" s="65">
        <f t="shared" si="27"/>
        <v>159.26086956521738</v>
      </c>
      <c r="S51" s="65">
        <f t="shared" si="27"/>
        <v>165.78260869565219</v>
      </c>
      <c r="T51" s="65">
        <f t="shared" si="27"/>
        <v>172.30434782608694</v>
      </c>
      <c r="U51" s="65">
        <f t="shared" si="27"/>
        <v>178.82608695652175</v>
      </c>
      <c r="V51" s="65">
        <f t="shared" si="27"/>
        <v>185.3478260869565</v>
      </c>
      <c r="W51" s="65">
        <f t="shared" si="27"/>
        <v>191.86956521739131</v>
      </c>
      <c r="X51" s="65">
        <f t="shared" si="27"/>
        <v>198.39130434782606</v>
      </c>
      <c r="Y51" s="65">
        <f t="shared" si="27"/>
        <v>204.91304347826087</v>
      </c>
      <c r="Z51" s="65">
        <f t="shared" si="27"/>
        <v>211.43478260869566</v>
      </c>
      <c r="AA51" s="65">
        <f t="shared" si="27"/>
        <v>217.95652173913044</v>
      </c>
      <c r="AB51" s="65">
        <f t="shared" si="27"/>
        <v>224.47826086956522</v>
      </c>
      <c r="AC51" s="156">
        <v>231</v>
      </c>
      <c r="AD51" s="65">
        <f t="shared" si="27"/>
        <v>237.52173913043478</v>
      </c>
      <c r="AE51" s="65">
        <f t="shared" si="27"/>
        <v>244.04347826086956</v>
      </c>
      <c r="AF51" s="65">
        <f t="shared" ref="AE51:AR56" si="28">$F51+(($AC51-$F51)/($AC$4-$F$4))*(AF$4-$F$4)</f>
        <v>250.56521739130434</v>
      </c>
      <c r="AG51" s="65">
        <f t="shared" si="28"/>
        <v>257.08695652173913</v>
      </c>
      <c r="AH51" s="65">
        <f t="shared" si="28"/>
        <v>263.60869565217388</v>
      </c>
      <c r="AI51" s="65">
        <f t="shared" si="28"/>
        <v>270.13043478260869</v>
      </c>
      <c r="AJ51" s="65">
        <f t="shared" si="28"/>
        <v>276.6521739130435</v>
      </c>
      <c r="AK51" s="65">
        <f t="shared" si="28"/>
        <v>283.17391304347825</v>
      </c>
      <c r="AL51" s="65">
        <f t="shared" si="28"/>
        <v>289.695652173913</v>
      </c>
      <c r="AM51" s="65">
        <f t="shared" si="28"/>
        <v>296.21739130434781</v>
      </c>
      <c r="AN51" s="65">
        <f t="shared" si="28"/>
        <v>302.73913043478262</v>
      </c>
      <c r="AO51" s="65">
        <f t="shared" si="28"/>
        <v>309.26086956521738</v>
      </c>
      <c r="AP51" s="65">
        <f t="shared" si="28"/>
        <v>315.78260869565213</v>
      </c>
      <c r="AQ51" s="65">
        <f t="shared" si="28"/>
        <v>322.30434782608694</v>
      </c>
      <c r="AR51" s="65">
        <f t="shared" si="28"/>
        <v>328.82608695652175</v>
      </c>
    </row>
    <row r="52" spans="2:44" s="65" customFormat="1">
      <c r="C52" s="188" t="str">
        <f t="shared" ref="C52:C54" si="29">C47</f>
        <v>WB Approach - 120th Avenue</v>
      </c>
      <c r="D52" s="65">
        <f t="shared" ref="D52:S56" si="30">$F52+(($AC52-$F52)/($AC$4-$F$4))*(D$4-$F$4)</f>
        <v>57.608695652173907</v>
      </c>
      <c r="E52" s="65">
        <f t="shared" si="30"/>
        <v>58.704347826086952</v>
      </c>
      <c r="F52" s="156">
        <v>59.8</v>
      </c>
      <c r="G52" s="65">
        <f t="shared" si="30"/>
        <v>60.895652173913042</v>
      </c>
      <c r="H52" s="65">
        <f t="shared" si="30"/>
        <v>61.991304347826087</v>
      </c>
      <c r="I52" s="65">
        <f t="shared" si="30"/>
        <v>63.086956521739125</v>
      </c>
      <c r="J52" s="65">
        <f t="shared" si="30"/>
        <v>64.182608695652178</v>
      </c>
      <c r="K52" s="65">
        <f t="shared" si="30"/>
        <v>65.278260869565216</v>
      </c>
      <c r="L52" s="65">
        <f t="shared" si="30"/>
        <v>66.373913043478254</v>
      </c>
      <c r="M52" s="65">
        <f t="shared" si="30"/>
        <v>67.469565217391306</v>
      </c>
      <c r="N52" s="65">
        <f t="shared" si="30"/>
        <v>68.565217391304344</v>
      </c>
      <c r="O52" s="65">
        <f t="shared" si="30"/>
        <v>69.660869565217382</v>
      </c>
      <c r="P52" s="65">
        <f t="shared" si="30"/>
        <v>70.756521739130434</v>
      </c>
      <c r="Q52" s="65">
        <f t="shared" si="30"/>
        <v>71.852173913043472</v>
      </c>
      <c r="R52" s="65">
        <f t="shared" si="30"/>
        <v>72.947826086956525</v>
      </c>
      <c r="S52" s="65">
        <f t="shared" si="30"/>
        <v>74.043478260869563</v>
      </c>
      <c r="T52" s="65">
        <f t="shared" si="27"/>
        <v>75.139130434782601</v>
      </c>
      <c r="U52" s="65">
        <f t="shared" si="27"/>
        <v>76.234782608695653</v>
      </c>
      <c r="V52" s="65">
        <f t="shared" si="27"/>
        <v>77.330434782608691</v>
      </c>
      <c r="W52" s="65">
        <f t="shared" si="27"/>
        <v>78.426086956521743</v>
      </c>
      <c r="X52" s="65">
        <f t="shared" si="27"/>
        <v>79.521739130434781</v>
      </c>
      <c r="Y52" s="65">
        <f t="shared" si="27"/>
        <v>80.617391304347819</v>
      </c>
      <c r="Z52" s="65">
        <f t="shared" si="27"/>
        <v>81.713043478260872</v>
      </c>
      <c r="AA52" s="65">
        <f t="shared" si="27"/>
        <v>82.80869565217391</v>
      </c>
      <c r="AB52" s="65">
        <f t="shared" si="27"/>
        <v>83.904347826086962</v>
      </c>
      <c r="AC52" s="156">
        <v>85</v>
      </c>
      <c r="AD52" s="65">
        <f t="shared" si="27"/>
        <v>86.095652173913038</v>
      </c>
      <c r="AE52" s="65">
        <f t="shared" si="28"/>
        <v>87.19130434782609</v>
      </c>
      <c r="AF52" s="65">
        <f t="shared" si="28"/>
        <v>88.286956521739128</v>
      </c>
      <c r="AG52" s="65">
        <f t="shared" si="28"/>
        <v>89.382608695652181</v>
      </c>
      <c r="AH52" s="65">
        <f t="shared" si="28"/>
        <v>90.478260869565219</v>
      </c>
      <c r="AI52" s="65">
        <f t="shared" si="28"/>
        <v>91.573913043478257</v>
      </c>
      <c r="AJ52" s="65">
        <f t="shared" si="28"/>
        <v>92.669565217391295</v>
      </c>
      <c r="AK52" s="65">
        <f t="shared" si="28"/>
        <v>93.765217391304347</v>
      </c>
      <c r="AL52" s="65">
        <f t="shared" si="28"/>
        <v>94.860869565217399</v>
      </c>
      <c r="AM52" s="65">
        <f t="shared" si="28"/>
        <v>95.956521739130437</v>
      </c>
      <c r="AN52" s="65">
        <f t="shared" si="28"/>
        <v>97.052173913043475</v>
      </c>
      <c r="AO52" s="65">
        <f t="shared" si="28"/>
        <v>98.147826086956513</v>
      </c>
      <c r="AP52" s="65">
        <f t="shared" si="28"/>
        <v>99.243478260869566</v>
      </c>
      <c r="AQ52" s="65">
        <f t="shared" si="28"/>
        <v>100.33913043478262</v>
      </c>
      <c r="AR52" s="65">
        <f t="shared" si="28"/>
        <v>101.43478260869566</v>
      </c>
    </row>
    <row r="53" spans="2:44" s="65" customFormat="1">
      <c r="C53" s="188" t="str">
        <f t="shared" si="29"/>
        <v>NB Approach - US 85</v>
      </c>
      <c r="D53" s="65">
        <f t="shared" si="30"/>
        <v>33.934782608695649</v>
      </c>
      <c r="E53" s="65">
        <f t="shared" si="30"/>
        <v>37.417391304347824</v>
      </c>
      <c r="F53" s="156">
        <v>40.9</v>
      </c>
      <c r="G53" s="65">
        <f t="shared" si="30"/>
        <v>44.382608695652173</v>
      </c>
      <c r="H53" s="65">
        <f t="shared" si="27"/>
        <v>47.865217391304348</v>
      </c>
      <c r="I53" s="65">
        <f t="shared" si="27"/>
        <v>51.347826086956516</v>
      </c>
      <c r="J53" s="65">
        <f t="shared" si="27"/>
        <v>54.830434782608691</v>
      </c>
      <c r="K53" s="65">
        <f t="shared" si="27"/>
        <v>58.313043478260866</v>
      </c>
      <c r="L53" s="65">
        <f t="shared" si="27"/>
        <v>61.795652173913041</v>
      </c>
      <c r="M53" s="65">
        <f t="shared" si="27"/>
        <v>65.278260869565216</v>
      </c>
      <c r="N53" s="65">
        <f t="shared" si="27"/>
        <v>68.760869565217391</v>
      </c>
      <c r="O53" s="65">
        <f t="shared" si="27"/>
        <v>72.243478260869566</v>
      </c>
      <c r="P53" s="65">
        <f t="shared" si="27"/>
        <v>75.726086956521726</v>
      </c>
      <c r="Q53" s="65">
        <f t="shared" si="27"/>
        <v>79.208695652173901</v>
      </c>
      <c r="R53" s="65">
        <f t="shared" si="27"/>
        <v>82.691304347826076</v>
      </c>
      <c r="S53" s="65">
        <f t="shared" si="27"/>
        <v>86.173913043478251</v>
      </c>
      <c r="T53" s="65">
        <f t="shared" si="27"/>
        <v>89.656521739130426</v>
      </c>
      <c r="U53" s="65">
        <f t="shared" si="27"/>
        <v>93.139130434782601</v>
      </c>
      <c r="V53" s="65">
        <f t="shared" si="27"/>
        <v>96.621739130434776</v>
      </c>
      <c r="W53" s="65">
        <f t="shared" si="27"/>
        <v>100.10434782608695</v>
      </c>
      <c r="X53" s="65">
        <f t="shared" si="27"/>
        <v>103.58695652173913</v>
      </c>
      <c r="Y53" s="65">
        <f t="shared" si="27"/>
        <v>107.0695652173913</v>
      </c>
      <c r="Z53" s="65">
        <f t="shared" si="27"/>
        <v>110.55217391304348</v>
      </c>
      <c r="AA53" s="65">
        <f t="shared" si="27"/>
        <v>114.03478260869565</v>
      </c>
      <c r="AB53" s="65">
        <f t="shared" si="27"/>
        <v>117.51739130434783</v>
      </c>
      <c r="AC53" s="156">
        <v>121</v>
      </c>
      <c r="AD53" s="65">
        <f t="shared" si="27"/>
        <v>124.48260869565217</v>
      </c>
      <c r="AE53" s="65">
        <f t="shared" si="28"/>
        <v>127.96521739130435</v>
      </c>
      <c r="AF53" s="65">
        <f t="shared" si="28"/>
        <v>131.44782608695652</v>
      </c>
      <c r="AG53" s="65">
        <f t="shared" si="28"/>
        <v>134.93043478260867</v>
      </c>
      <c r="AH53" s="65">
        <f t="shared" si="28"/>
        <v>138.41304347826085</v>
      </c>
      <c r="AI53" s="65">
        <f t="shared" si="28"/>
        <v>141.89565217391302</v>
      </c>
      <c r="AJ53" s="65">
        <f t="shared" si="28"/>
        <v>145.3782608695652</v>
      </c>
      <c r="AK53" s="65">
        <f t="shared" si="28"/>
        <v>148.86086956521737</v>
      </c>
      <c r="AL53" s="65">
        <f t="shared" si="28"/>
        <v>152.34347826086955</v>
      </c>
      <c r="AM53" s="65">
        <f t="shared" si="28"/>
        <v>155.82608695652172</v>
      </c>
      <c r="AN53" s="65">
        <f t="shared" si="28"/>
        <v>159.3086956521739</v>
      </c>
      <c r="AO53" s="65">
        <f t="shared" si="28"/>
        <v>162.79130434782607</v>
      </c>
      <c r="AP53" s="65">
        <f t="shared" si="28"/>
        <v>166.27391304347825</v>
      </c>
      <c r="AQ53" s="65">
        <f t="shared" si="28"/>
        <v>169.75652173913042</v>
      </c>
      <c r="AR53" s="65">
        <f t="shared" si="28"/>
        <v>173.2391304347826</v>
      </c>
    </row>
    <row r="54" spans="2:44" s="65" customFormat="1">
      <c r="C54" s="188" t="str">
        <f t="shared" si="29"/>
        <v>SB Approach - US 85</v>
      </c>
      <c r="D54" s="65">
        <f t="shared" si="30"/>
        <v>21.717391304347828</v>
      </c>
      <c r="E54" s="65">
        <f t="shared" si="30"/>
        <v>23.408695652173915</v>
      </c>
      <c r="F54" s="156">
        <v>25.1</v>
      </c>
      <c r="G54" s="65">
        <f t="shared" si="30"/>
        <v>26.791304347826088</v>
      </c>
      <c r="H54" s="65">
        <f t="shared" si="27"/>
        <v>28.482608695652175</v>
      </c>
      <c r="I54" s="65">
        <f t="shared" si="27"/>
        <v>30.173913043478262</v>
      </c>
      <c r="J54" s="65">
        <f t="shared" si="27"/>
        <v>31.865217391304348</v>
      </c>
      <c r="K54" s="65">
        <f t="shared" si="27"/>
        <v>33.556521739130439</v>
      </c>
      <c r="L54" s="65">
        <f t="shared" si="27"/>
        <v>35.247826086956522</v>
      </c>
      <c r="M54" s="65">
        <f t="shared" si="27"/>
        <v>36.939130434782612</v>
      </c>
      <c r="N54" s="65">
        <f t="shared" si="27"/>
        <v>38.630434782608695</v>
      </c>
      <c r="O54" s="65">
        <f t="shared" si="27"/>
        <v>40.321739130434786</v>
      </c>
      <c r="P54" s="65">
        <f t="shared" si="27"/>
        <v>42.013043478260869</v>
      </c>
      <c r="Q54" s="65">
        <f t="shared" si="27"/>
        <v>43.704347826086959</v>
      </c>
      <c r="R54" s="65">
        <f t="shared" si="27"/>
        <v>45.395652173913049</v>
      </c>
      <c r="S54" s="65">
        <f t="shared" si="27"/>
        <v>47.086956521739133</v>
      </c>
      <c r="T54" s="65">
        <f t="shared" si="27"/>
        <v>48.778260869565216</v>
      </c>
      <c r="U54" s="65">
        <f t="shared" si="27"/>
        <v>50.469565217391306</v>
      </c>
      <c r="V54" s="65">
        <f t="shared" si="27"/>
        <v>52.160869565217396</v>
      </c>
      <c r="W54" s="65">
        <f t="shared" si="27"/>
        <v>53.85217391304348</v>
      </c>
      <c r="X54" s="65">
        <f t="shared" si="27"/>
        <v>55.543478260869563</v>
      </c>
      <c r="Y54" s="65">
        <f t="shared" si="27"/>
        <v>57.234782608695653</v>
      </c>
      <c r="Z54" s="65">
        <f t="shared" si="27"/>
        <v>58.926086956521743</v>
      </c>
      <c r="AA54" s="65">
        <f t="shared" si="27"/>
        <v>60.617391304347827</v>
      </c>
      <c r="AB54" s="65">
        <f t="shared" si="27"/>
        <v>62.308695652173917</v>
      </c>
      <c r="AC54" s="156">
        <v>64</v>
      </c>
      <c r="AD54" s="65">
        <f t="shared" si="27"/>
        <v>65.69130434782609</v>
      </c>
      <c r="AE54" s="65">
        <f t="shared" si="28"/>
        <v>67.382608695652181</v>
      </c>
      <c r="AF54" s="65">
        <f t="shared" si="28"/>
        <v>69.073913043478257</v>
      </c>
      <c r="AG54" s="65">
        <f t="shared" si="28"/>
        <v>70.765217391304347</v>
      </c>
      <c r="AH54" s="65">
        <f t="shared" si="28"/>
        <v>72.456521739130437</v>
      </c>
      <c r="AI54" s="65">
        <f t="shared" si="28"/>
        <v>74.147826086956513</v>
      </c>
      <c r="AJ54" s="65">
        <f t="shared" si="28"/>
        <v>75.839130434782618</v>
      </c>
      <c r="AK54" s="65">
        <f t="shared" si="28"/>
        <v>77.530434782608694</v>
      </c>
      <c r="AL54" s="65">
        <f t="shared" si="28"/>
        <v>79.221739130434784</v>
      </c>
      <c r="AM54" s="65">
        <f t="shared" si="28"/>
        <v>80.913043478260875</v>
      </c>
      <c r="AN54" s="65">
        <f t="shared" si="28"/>
        <v>82.604347826086951</v>
      </c>
      <c r="AO54" s="65">
        <f t="shared" si="28"/>
        <v>84.295652173913055</v>
      </c>
      <c r="AP54" s="65">
        <f t="shared" si="28"/>
        <v>85.986956521739131</v>
      </c>
      <c r="AQ54" s="65">
        <f t="shared" si="28"/>
        <v>87.678260869565221</v>
      </c>
      <c r="AR54" s="65">
        <f t="shared" si="28"/>
        <v>89.369565217391312</v>
      </c>
    </row>
    <row r="55" spans="2:44"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</row>
    <row r="56" spans="2:44" s="65" customFormat="1">
      <c r="C56" s="186" t="str">
        <f>"BASELINE (No "&amp;'BCA Summary'!$E$1&amp;" Grant) PM Peak Hour Total Vehicular Delay, hrs"</f>
        <v>BASELINE (No BUILD Grant Grant) PM Peak Hour Total Vehicular Delay, hrs</v>
      </c>
      <c r="D56" s="65">
        <f t="shared" si="30"/>
        <v>41.82910628019323</v>
      </c>
      <c r="E56" s="65">
        <f t="shared" si="30"/>
        <v>47.137608695652169</v>
      </c>
      <c r="F56" s="156">
        <f>((F46*F51)+(F47*F52)+(F48*F53)+(F49*F54))/3600</f>
        <v>52.446111111111108</v>
      </c>
      <c r="G56" s="65">
        <f t="shared" si="30"/>
        <v>57.754613526570047</v>
      </c>
      <c r="H56" s="65">
        <f t="shared" si="27"/>
        <v>63.063115942028986</v>
      </c>
      <c r="I56" s="65">
        <f t="shared" si="27"/>
        <v>68.371618357487918</v>
      </c>
      <c r="J56" s="65">
        <f t="shared" si="27"/>
        <v>73.68012077294685</v>
      </c>
      <c r="K56" s="65">
        <f t="shared" si="27"/>
        <v>78.988623188405796</v>
      </c>
      <c r="L56" s="65">
        <f t="shared" si="27"/>
        <v>84.297125603864728</v>
      </c>
      <c r="M56" s="65">
        <f t="shared" si="27"/>
        <v>89.60562801932366</v>
      </c>
      <c r="N56" s="65">
        <f t="shared" si="27"/>
        <v>94.914130434782606</v>
      </c>
      <c r="O56" s="65">
        <f t="shared" si="27"/>
        <v>100.22263285024155</v>
      </c>
      <c r="P56" s="65">
        <f t="shared" si="27"/>
        <v>105.53113526570048</v>
      </c>
      <c r="Q56" s="65">
        <f t="shared" si="27"/>
        <v>110.83963768115942</v>
      </c>
      <c r="R56" s="65">
        <f t="shared" si="27"/>
        <v>116.14814009661836</v>
      </c>
      <c r="S56" s="65">
        <f t="shared" si="27"/>
        <v>121.45664251207729</v>
      </c>
      <c r="T56" s="65">
        <f t="shared" si="27"/>
        <v>126.76514492753623</v>
      </c>
      <c r="U56" s="65">
        <f t="shared" si="27"/>
        <v>132.07364734299517</v>
      </c>
      <c r="V56" s="65">
        <f t="shared" si="27"/>
        <v>137.38214975845409</v>
      </c>
      <c r="W56" s="65">
        <f t="shared" si="27"/>
        <v>142.69065217391304</v>
      </c>
      <c r="X56" s="65">
        <f t="shared" si="27"/>
        <v>147.99915458937198</v>
      </c>
      <c r="Y56" s="65">
        <f t="shared" si="27"/>
        <v>153.3076570048309</v>
      </c>
      <c r="Z56" s="65">
        <f t="shared" si="27"/>
        <v>158.61615942028988</v>
      </c>
      <c r="AA56" s="65">
        <f t="shared" si="27"/>
        <v>163.92466183574879</v>
      </c>
      <c r="AB56" s="65">
        <f t="shared" si="27"/>
        <v>169.23316425120771</v>
      </c>
      <c r="AC56" s="156">
        <f>((AC46*AC51)+(AC47*AC52)+(AC48*AC53)+(AC49*AC54))/3600</f>
        <v>174.54166666666666</v>
      </c>
      <c r="AD56" s="65">
        <f t="shared" si="27"/>
        <v>179.8501690821256</v>
      </c>
      <c r="AE56" s="65">
        <f t="shared" si="28"/>
        <v>185.15867149758452</v>
      </c>
      <c r="AF56" s="65">
        <f t="shared" si="28"/>
        <v>190.4671739130435</v>
      </c>
      <c r="AG56" s="65">
        <f t="shared" si="28"/>
        <v>195.77567632850241</v>
      </c>
      <c r="AH56" s="65">
        <f t="shared" si="28"/>
        <v>201.08417874396133</v>
      </c>
      <c r="AI56" s="65">
        <f t="shared" si="28"/>
        <v>206.39268115942031</v>
      </c>
      <c r="AJ56" s="65">
        <f t="shared" si="28"/>
        <v>211.70118357487922</v>
      </c>
      <c r="AK56" s="65">
        <f t="shared" si="28"/>
        <v>217.00968599033814</v>
      </c>
      <c r="AL56" s="65">
        <f t="shared" si="28"/>
        <v>222.31818840579712</v>
      </c>
      <c r="AM56" s="65">
        <f t="shared" si="28"/>
        <v>227.62669082125603</v>
      </c>
      <c r="AN56" s="65">
        <f t="shared" si="28"/>
        <v>232.93519323671495</v>
      </c>
      <c r="AO56" s="65">
        <f t="shared" si="28"/>
        <v>238.24369565217393</v>
      </c>
      <c r="AP56" s="65">
        <f t="shared" si="28"/>
        <v>243.55219806763284</v>
      </c>
      <c r="AQ56" s="65">
        <f t="shared" si="28"/>
        <v>248.86070048309176</v>
      </c>
      <c r="AR56" s="65">
        <f t="shared" si="28"/>
        <v>254.16920289855074</v>
      </c>
    </row>
    <row r="58" spans="2:44" s="23" customFormat="1">
      <c r="B58" s="23" t="s">
        <v>262</v>
      </c>
      <c r="D58" s="68"/>
      <c r="E58" s="68"/>
      <c r="F58" s="69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9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R58" s="68"/>
    </row>
    <row r="59" spans="2:44">
      <c r="C59" t="s">
        <v>258</v>
      </c>
      <c r="D59" s="48">
        <f t="shared" ref="D59:E61" si="31">$F59+(($AC59-$F59)/($AC$4-$F$4))*(D$4-$F$4)</f>
        <v>982.17391304347825</v>
      </c>
      <c r="E59" s="48">
        <f t="shared" si="31"/>
        <v>1006.0869565217391</v>
      </c>
      <c r="F59" s="91">
        <v>1030</v>
      </c>
      <c r="G59" s="48">
        <f t="shared" ref="G59:AA61" si="32">$F59+(($AC59-$F59)/($AC$4-$F$4))*(G$4-$F$4)</f>
        <v>1053.9130434782608</v>
      </c>
      <c r="H59" s="48">
        <f t="shared" si="32"/>
        <v>1077.8260869565217</v>
      </c>
      <c r="I59" s="48">
        <f t="shared" si="32"/>
        <v>1101.7391304347825</v>
      </c>
      <c r="J59" s="48">
        <f t="shared" si="32"/>
        <v>1125.6521739130435</v>
      </c>
      <c r="K59" s="48">
        <f t="shared" si="32"/>
        <v>1149.5652173913043</v>
      </c>
      <c r="L59" s="48">
        <f t="shared" si="32"/>
        <v>1173.4782608695652</v>
      </c>
      <c r="M59" s="48">
        <f t="shared" si="32"/>
        <v>1197.391304347826</v>
      </c>
      <c r="N59" s="48">
        <f t="shared" si="32"/>
        <v>1221.304347826087</v>
      </c>
      <c r="O59" s="48">
        <f t="shared" si="32"/>
        <v>1245.2173913043478</v>
      </c>
      <c r="P59" s="48">
        <f t="shared" si="32"/>
        <v>1269.1304347826087</v>
      </c>
      <c r="Q59" s="48">
        <f t="shared" si="32"/>
        <v>1293.0434782608695</v>
      </c>
      <c r="R59" s="48">
        <f t="shared" si="32"/>
        <v>1316.9565217391305</v>
      </c>
      <c r="S59" s="48">
        <f t="shared" si="32"/>
        <v>1340.8695652173913</v>
      </c>
      <c r="T59" s="48">
        <f t="shared" si="32"/>
        <v>1364.7826086956522</v>
      </c>
      <c r="U59" s="48">
        <f t="shared" si="32"/>
        <v>1388.695652173913</v>
      </c>
      <c r="V59" s="48">
        <f t="shared" si="32"/>
        <v>1412.608695652174</v>
      </c>
      <c r="W59" s="48">
        <f t="shared" si="32"/>
        <v>1436.5217391304348</v>
      </c>
      <c r="X59" s="48">
        <f t="shared" si="32"/>
        <v>1460.4347826086957</v>
      </c>
      <c r="Y59" s="48">
        <f t="shared" si="32"/>
        <v>1484.3478260869565</v>
      </c>
      <c r="Z59" s="48">
        <f t="shared" si="32"/>
        <v>1508.2608695652175</v>
      </c>
      <c r="AA59" s="48">
        <f t="shared" si="32"/>
        <v>1532.1739130434783</v>
      </c>
      <c r="AB59" s="48">
        <f t="shared" ref="AB59:AB61" si="33">$F59+(($AC59-$F59)/($AC$4-$F$4))*(AB$4-$F$4)</f>
        <v>1556.086956521739</v>
      </c>
      <c r="AC59" s="91">
        <v>1580</v>
      </c>
      <c r="AD59" s="48">
        <f t="shared" ref="AD59:AR61" si="34">$F59+(($AC59-$F59)/($AC$4-$F$4))*(AD$4-$F$4)</f>
        <v>1603.913043478261</v>
      </c>
      <c r="AE59" s="48">
        <f t="shared" si="34"/>
        <v>1627.8260869565217</v>
      </c>
      <c r="AF59" s="48">
        <f t="shared" si="34"/>
        <v>1651.7391304347825</v>
      </c>
      <c r="AG59" s="48">
        <f t="shared" si="34"/>
        <v>1675.6521739130435</v>
      </c>
      <c r="AH59" s="48">
        <f t="shared" si="34"/>
        <v>1699.5652173913045</v>
      </c>
      <c r="AI59" s="48">
        <f t="shared" si="34"/>
        <v>1723.4782608695652</v>
      </c>
      <c r="AJ59" s="48">
        <f t="shared" si="34"/>
        <v>1747.391304347826</v>
      </c>
      <c r="AK59" s="48">
        <f t="shared" si="34"/>
        <v>1771.304347826087</v>
      </c>
      <c r="AL59" s="48">
        <f t="shared" si="34"/>
        <v>1795.217391304348</v>
      </c>
      <c r="AM59" s="48">
        <f t="shared" si="34"/>
        <v>1819.1304347826087</v>
      </c>
      <c r="AN59" s="48">
        <f t="shared" si="34"/>
        <v>1843.0434782608695</v>
      </c>
      <c r="AO59" s="48">
        <f t="shared" si="34"/>
        <v>1866.9565217391305</v>
      </c>
      <c r="AP59" s="48">
        <f t="shared" si="34"/>
        <v>1890.8695652173915</v>
      </c>
      <c r="AQ59" s="48">
        <f t="shared" si="34"/>
        <v>1914.7826086956522</v>
      </c>
      <c r="AR59" s="48">
        <f t="shared" si="34"/>
        <v>1938.695652173913</v>
      </c>
    </row>
    <row r="60" spans="2:44">
      <c r="C60" t="s">
        <v>259</v>
      </c>
      <c r="D60" s="48">
        <f t="shared" si="31"/>
        <v>1225.6521739130435</v>
      </c>
      <c r="E60" s="48">
        <f t="shared" si="31"/>
        <v>1227.8260869565217</v>
      </c>
      <c r="F60" s="91">
        <v>1230</v>
      </c>
      <c r="G60" s="48">
        <f t="shared" si="32"/>
        <v>1232.1739130434783</v>
      </c>
      <c r="H60" s="48">
        <f t="shared" si="32"/>
        <v>1234.3478260869565</v>
      </c>
      <c r="I60" s="48">
        <f t="shared" si="32"/>
        <v>1236.5217391304348</v>
      </c>
      <c r="J60" s="48">
        <f t="shared" si="32"/>
        <v>1238.695652173913</v>
      </c>
      <c r="K60" s="48">
        <f t="shared" si="32"/>
        <v>1240.8695652173913</v>
      </c>
      <c r="L60" s="48">
        <f t="shared" si="32"/>
        <v>1243.0434782608695</v>
      </c>
      <c r="M60" s="48">
        <f t="shared" si="32"/>
        <v>1245.2173913043478</v>
      </c>
      <c r="N60" s="48">
        <f t="shared" si="32"/>
        <v>1247.391304347826</v>
      </c>
      <c r="O60" s="48">
        <f t="shared" si="32"/>
        <v>1249.5652173913043</v>
      </c>
      <c r="P60" s="48">
        <f t="shared" si="32"/>
        <v>1251.7391304347825</v>
      </c>
      <c r="Q60" s="48">
        <f t="shared" si="32"/>
        <v>1253.9130434782608</v>
      </c>
      <c r="R60" s="48">
        <f t="shared" si="32"/>
        <v>1256.0869565217392</v>
      </c>
      <c r="S60" s="48">
        <f t="shared" si="32"/>
        <v>1258.2608695652175</v>
      </c>
      <c r="T60" s="48">
        <f t="shared" si="32"/>
        <v>1260.4347826086957</v>
      </c>
      <c r="U60" s="48">
        <f t="shared" si="32"/>
        <v>1262.608695652174</v>
      </c>
      <c r="V60" s="48">
        <f t="shared" si="32"/>
        <v>1264.7826086956522</v>
      </c>
      <c r="W60" s="48">
        <f t="shared" si="32"/>
        <v>1266.9565217391305</v>
      </c>
      <c r="X60" s="48">
        <f t="shared" si="32"/>
        <v>1269.1304347826087</v>
      </c>
      <c r="Y60" s="48">
        <f t="shared" si="32"/>
        <v>1271.304347826087</v>
      </c>
      <c r="Z60" s="48">
        <f t="shared" si="32"/>
        <v>1273.4782608695652</v>
      </c>
      <c r="AA60" s="48">
        <f t="shared" si="32"/>
        <v>1275.6521739130435</v>
      </c>
      <c r="AB60" s="48">
        <f t="shared" si="33"/>
        <v>1277.8260869565217</v>
      </c>
      <c r="AC60" s="91">
        <v>1280</v>
      </c>
      <c r="AD60" s="48">
        <f t="shared" si="34"/>
        <v>1282.1739130434783</v>
      </c>
      <c r="AE60" s="48">
        <f t="shared" si="34"/>
        <v>1284.3478260869565</v>
      </c>
      <c r="AF60" s="48">
        <f t="shared" si="34"/>
        <v>1286.5217391304348</v>
      </c>
      <c r="AG60" s="48">
        <f t="shared" si="34"/>
        <v>1288.695652173913</v>
      </c>
      <c r="AH60" s="48">
        <f t="shared" si="34"/>
        <v>1290.8695652173913</v>
      </c>
      <c r="AI60" s="48">
        <f t="shared" si="34"/>
        <v>1293.0434782608695</v>
      </c>
      <c r="AJ60" s="48">
        <f t="shared" si="34"/>
        <v>1295.2173913043478</v>
      </c>
      <c r="AK60" s="48">
        <f t="shared" si="34"/>
        <v>1297.391304347826</v>
      </c>
      <c r="AL60" s="48">
        <f t="shared" si="34"/>
        <v>1299.5652173913043</v>
      </c>
      <c r="AM60" s="48">
        <f t="shared" si="34"/>
        <v>1301.7391304347825</v>
      </c>
      <c r="AN60" s="48">
        <f t="shared" si="34"/>
        <v>1303.9130434782608</v>
      </c>
      <c r="AO60" s="48">
        <f t="shared" si="34"/>
        <v>1306.086956521739</v>
      </c>
      <c r="AP60" s="48">
        <f t="shared" si="34"/>
        <v>1308.2608695652175</v>
      </c>
      <c r="AQ60" s="48">
        <f t="shared" si="34"/>
        <v>1310.4347826086957</v>
      </c>
      <c r="AR60" s="48">
        <f t="shared" si="34"/>
        <v>1312.608695652174</v>
      </c>
    </row>
    <row r="61" spans="2:44">
      <c r="C61" t="s">
        <v>269</v>
      </c>
      <c r="D61" s="48">
        <f t="shared" si="31"/>
        <v>172.60869565217391</v>
      </c>
      <c r="E61" s="48">
        <f t="shared" si="31"/>
        <v>191.30434782608697</v>
      </c>
      <c r="F61" s="91">
        <v>210</v>
      </c>
      <c r="G61" s="48">
        <f t="shared" si="32"/>
        <v>228.69565217391303</v>
      </c>
      <c r="H61" s="48">
        <f t="shared" si="32"/>
        <v>247.39130434782609</v>
      </c>
      <c r="I61" s="48">
        <f t="shared" si="32"/>
        <v>266.08695652173913</v>
      </c>
      <c r="J61" s="48">
        <f t="shared" si="32"/>
        <v>284.78260869565219</v>
      </c>
      <c r="K61" s="48">
        <f t="shared" si="32"/>
        <v>303.47826086956525</v>
      </c>
      <c r="L61" s="48">
        <f t="shared" si="32"/>
        <v>322.17391304347825</v>
      </c>
      <c r="M61" s="48">
        <f t="shared" si="32"/>
        <v>340.86956521739131</v>
      </c>
      <c r="N61" s="48">
        <f t="shared" si="32"/>
        <v>359.56521739130437</v>
      </c>
      <c r="O61" s="48">
        <f t="shared" si="32"/>
        <v>378.26086956521738</v>
      </c>
      <c r="P61" s="48">
        <f t="shared" si="32"/>
        <v>396.95652173913044</v>
      </c>
      <c r="Q61" s="48">
        <f t="shared" si="32"/>
        <v>415.6521739130435</v>
      </c>
      <c r="R61" s="48">
        <f t="shared" si="32"/>
        <v>434.3478260869565</v>
      </c>
      <c r="S61" s="48">
        <f t="shared" si="32"/>
        <v>453.04347826086956</v>
      </c>
      <c r="T61" s="48">
        <f t="shared" si="32"/>
        <v>471.73913043478262</v>
      </c>
      <c r="U61" s="48">
        <f t="shared" si="32"/>
        <v>490.43478260869563</v>
      </c>
      <c r="V61" s="48">
        <f t="shared" si="32"/>
        <v>509.13043478260869</v>
      </c>
      <c r="W61" s="48">
        <f t="shared" si="32"/>
        <v>527.82608695652175</v>
      </c>
      <c r="X61" s="48">
        <f t="shared" si="32"/>
        <v>546.52173913043475</v>
      </c>
      <c r="Y61" s="48">
        <f t="shared" si="32"/>
        <v>565.21739130434776</v>
      </c>
      <c r="Z61" s="48">
        <f t="shared" si="32"/>
        <v>583.91304347826087</v>
      </c>
      <c r="AA61" s="48">
        <f t="shared" si="32"/>
        <v>602.60869565217388</v>
      </c>
      <c r="AB61" s="48">
        <f t="shared" si="33"/>
        <v>621.304347826087</v>
      </c>
      <c r="AC61" s="91">
        <v>640</v>
      </c>
      <c r="AD61" s="48">
        <f t="shared" si="34"/>
        <v>658.695652173913</v>
      </c>
      <c r="AE61" s="48">
        <f t="shared" si="34"/>
        <v>677.39130434782601</v>
      </c>
      <c r="AF61" s="48">
        <f t="shared" si="34"/>
        <v>696.08695652173913</v>
      </c>
      <c r="AG61" s="48">
        <f t="shared" si="34"/>
        <v>714.78260869565224</v>
      </c>
      <c r="AH61" s="48">
        <f t="shared" si="34"/>
        <v>733.47826086956525</v>
      </c>
      <c r="AI61" s="48">
        <f t="shared" si="34"/>
        <v>752.17391304347825</v>
      </c>
      <c r="AJ61" s="48">
        <f t="shared" si="34"/>
        <v>770.86956521739125</v>
      </c>
      <c r="AK61" s="48">
        <f t="shared" si="34"/>
        <v>789.56521739130437</v>
      </c>
      <c r="AL61" s="48">
        <f t="shared" si="34"/>
        <v>808.26086956521738</v>
      </c>
      <c r="AM61" s="48">
        <f t="shared" si="34"/>
        <v>826.95652173913038</v>
      </c>
      <c r="AN61" s="48">
        <f t="shared" si="34"/>
        <v>845.6521739130435</v>
      </c>
      <c r="AO61" s="48">
        <f t="shared" si="34"/>
        <v>864.3478260869565</v>
      </c>
      <c r="AP61" s="48">
        <f t="shared" si="34"/>
        <v>883.04347826086951</v>
      </c>
      <c r="AQ61" s="48">
        <f t="shared" si="34"/>
        <v>901.73913043478262</v>
      </c>
      <c r="AR61" s="48">
        <f t="shared" si="34"/>
        <v>920.43478260869563</v>
      </c>
    </row>
    <row r="62" spans="2:44" s="23" customFormat="1">
      <c r="B62" s="23" t="s">
        <v>263</v>
      </c>
      <c r="D62" s="68"/>
      <c r="E62" s="68"/>
      <c r="F62" s="69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9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</row>
    <row r="63" spans="2:44" s="65" customFormat="1">
      <c r="C63" s="188" t="s">
        <v>258</v>
      </c>
      <c r="D63" s="65">
        <f t="shared" ref="D63:E65" si="35">$F63+(($AC63-$F63)/($AC$4-$F$4))*(D$4-$F$4)</f>
        <v>17.391304347826086</v>
      </c>
      <c r="E63" s="65">
        <f t="shared" si="35"/>
        <v>17.695652173913043</v>
      </c>
      <c r="F63" s="70">
        <v>18</v>
      </c>
      <c r="G63" s="65">
        <f t="shared" ref="G63:V65" si="36">$F63+(($AC63-$F63)/($AC$4-$F$4))*(G$4-$F$4)</f>
        <v>18.304347826086957</v>
      </c>
      <c r="H63" s="65">
        <f t="shared" si="36"/>
        <v>18.608695652173914</v>
      </c>
      <c r="I63" s="65">
        <f t="shared" si="36"/>
        <v>18.913043478260871</v>
      </c>
      <c r="J63" s="65">
        <f t="shared" si="36"/>
        <v>19.217391304347828</v>
      </c>
      <c r="K63" s="65">
        <f t="shared" si="36"/>
        <v>19.521739130434781</v>
      </c>
      <c r="L63" s="65">
        <f t="shared" si="36"/>
        <v>19.826086956521738</v>
      </c>
      <c r="M63" s="65">
        <f t="shared" si="36"/>
        <v>20.130434782608695</v>
      </c>
      <c r="N63" s="65">
        <f t="shared" si="36"/>
        <v>20.434782608695652</v>
      </c>
      <c r="O63" s="65">
        <f t="shared" si="36"/>
        <v>20.739130434782609</v>
      </c>
      <c r="P63" s="65">
        <f t="shared" si="36"/>
        <v>21.043478260869566</v>
      </c>
      <c r="Q63" s="65">
        <f t="shared" si="36"/>
        <v>21.347826086956523</v>
      </c>
      <c r="R63" s="65">
        <f t="shared" si="36"/>
        <v>21.652173913043477</v>
      </c>
      <c r="S63" s="65">
        <f t="shared" si="36"/>
        <v>21.956521739130434</v>
      </c>
      <c r="T63" s="65">
        <f t="shared" si="36"/>
        <v>22.260869565217391</v>
      </c>
      <c r="U63" s="65">
        <f t="shared" si="36"/>
        <v>22.565217391304348</v>
      </c>
      <c r="V63" s="65">
        <f t="shared" si="36"/>
        <v>22.869565217391305</v>
      </c>
      <c r="W63" s="65">
        <f t="shared" ref="W63:AB65" si="37">$F63+(($AC63-$F63)/($AC$4-$F$4))*(W$4-$F$4)</f>
        <v>23.173913043478262</v>
      </c>
      <c r="X63" s="65">
        <f t="shared" si="37"/>
        <v>23.478260869565219</v>
      </c>
      <c r="Y63" s="65">
        <f t="shared" si="37"/>
        <v>23.782608695652172</v>
      </c>
      <c r="Z63" s="65">
        <f t="shared" si="37"/>
        <v>24.086956521739133</v>
      </c>
      <c r="AA63" s="65">
        <f t="shared" si="37"/>
        <v>24.391304347826086</v>
      </c>
      <c r="AB63" s="65">
        <f t="shared" si="37"/>
        <v>24.695652173913043</v>
      </c>
      <c r="AC63" s="70">
        <v>25</v>
      </c>
      <c r="AD63" s="65">
        <f t="shared" ref="AD63:AR65" si="38">$F63+(($AC63-$F63)/($AC$4-$F$4))*(AD$4-$F$4)</f>
        <v>25.304347826086957</v>
      </c>
      <c r="AE63" s="65">
        <f t="shared" si="38"/>
        <v>25.608695652173914</v>
      </c>
      <c r="AF63" s="65">
        <f t="shared" si="38"/>
        <v>25.913043478260871</v>
      </c>
      <c r="AG63" s="65">
        <f t="shared" si="38"/>
        <v>26.217391304347828</v>
      </c>
      <c r="AH63" s="65">
        <f t="shared" si="38"/>
        <v>26.521739130434781</v>
      </c>
      <c r="AI63" s="65">
        <f t="shared" si="38"/>
        <v>26.826086956521742</v>
      </c>
      <c r="AJ63" s="65">
        <f t="shared" si="38"/>
        <v>27.130434782608695</v>
      </c>
      <c r="AK63" s="65">
        <f t="shared" si="38"/>
        <v>27.434782608695652</v>
      </c>
      <c r="AL63" s="65">
        <f t="shared" si="38"/>
        <v>27.739130434782609</v>
      </c>
      <c r="AM63" s="65">
        <f t="shared" si="38"/>
        <v>28.043478260869566</v>
      </c>
      <c r="AN63" s="65">
        <f t="shared" si="38"/>
        <v>28.347826086956523</v>
      </c>
      <c r="AO63" s="65">
        <f t="shared" si="38"/>
        <v>28.652173913043477</v>
      </c>
      <c r="AP63" s="65">
        <f t="shared" si="38"/>
        <v>28.956521739130437</v>
      </c>
      <c r="AQ63" s="65">
        <f t="shared" si="38"/>
        <v>29.260869565217391</v>
      </c>
      <c r="AR63" s="65">
        <f t="shared" si="38"/>
        <v>29.565217391304348</v>
      </c>
    </row>
    <row r="64" spans="2:44" s="65" customFormat="1">
      <c r="C64" s="188" t="s">
        <v>259</v>
      </c>
      <c r="D64" s="65">
        <f t="shared" si="35"/>
        <v>18.347826086956523</v>
      </c>
      <c r="E64" s="65">
        <f t="shared" si="35"/>
        <v>18.173913043478262</v>
      </c>
      <c r="F64" s="70">
        <v>18</v>
      </c>
      <c r="G64" s="65">
        <f t="shared" si="36"/>
        <v>17.826086956521738</v>
      </c>
      <c r="H64" s="65">
        <f t="shared" si="36"/>
        <v>17.652173913043477</v>
      </c>
      <c r="I64" s="65">
        <f t="shared" si="36"/>
        <v>17.478260869565219</v>
      </c>
      <c r="J64" s="65">
        <f t="shared" si="36"/>
        <v>17.304347826086957</v>
      </c>
      <c r="K64" s="65">
        <f t="shared" si="36"/>
        <v>17.130434782608695</v>
      </c>
      <c r="L64" s="65">
        <f t="shared" si="36"/>
        <v>16.956521739130434</v>
      </c>
      <c r="M64" s="65">
        <f t="shared" si="36"/>
        <v>16.782608695652172</v>
      </c>
      <c r="N64" s="65">
        <f t="shared" si="36"/>
        <v>16.608695652173914</v>
      </c>
      <c r="O64" s="65">
        <f t="shared" si="36"/>
        <v>16.434782608695652</v>
      </c>
      <c r="P64" s="65">
        <f t="shared" si="36"/>
        <v>16.260869565217391</v>
      </c>
      <c r="Q64" s="65">
        <f t="shared" si="36"/>
        <v>16.086956521739129</v>
      </c>
      <c r="R64" s="65">
        <f t="shared" si="36"/>
        <v>15.913043478260869</v>
      </c>
      <c r="S64" s="65">
        <f t="shared" si="36"/>
        <v>15.739130434782609</v>
      </c>
      <c r="T64" s="65">
        <f t="shared" si="36"/>
        <v>15.565217391304348</v>
      </c>
      <c r="U64" s="65">
        <f t="shared" si="36"/>
        <v>15.391304347826086</v>
      </c>
      <c r="V64" s="65">
        <f t="shared" si="36"/>
        <v>15.217391304347826</v>
      </c>
      <c r="W64" s="65">
        <f t="shared" si="37"/>
        <v>15.043478260869566</v>
      </c>
      <c r="X64" s="65">
        <f t="shared" si="37"/>
        <v>14.869565217391305</v>
      </c>
      <c r="Y64" s="65">
        <f t="shared" si="37"/>
        <v>14.695652173913043</v>
      </c>
      <c r="Z64" s="65">
        <f t="shared" si="37"/>
        <v>14.521739130434783</v>
      </c>
      <c r="AA64" s="65">
        <f t="shared" si="37"/>
        <v>14.347826086956522</v>
      </c>
      <c r="AB64" s="65">
        <f t="shared" si="37"/>
        <v>14.173913043478262</v>
      </c>
      <c r="AC64" s="70">
        <v>14</v>
      </c>
      <c r="AD64" s="65">
        <f t="shared" si="38"/>
        <v>13.826086956521738</v>
      </c>
      <c r="AE64" s="65">
        <f t="shared" si="38"/>
        <v>13.652173913043478</v>
      </c>
      <c r="AF64" s="65">
        <f t="shared" si="38"/>
        <v>13.478260869565219</v>
      </c>
      <c r="AG64" s="65">
        <f t="shared" si="38"/>
        <v>13.304347826086957</v>
      </c>
      <c r="AH64" s="65">
        <f t="shared" si="38"/>
        <v>13.130434782608695</v>
      </c>
      <c r="AI64" s="65">
        <f t="shared" si="38"/>
        <v>12.956521739130434</v>
      </c>
      <c r="AJ64" s="65">
        <f t="shared" si="38"/>
        <v>12.782608695652174</v>
      </c>
      <c r="AK64" s="65">
        <f t="shared" si="38"/>
        <v>12.608695652173914</v>
      </c>
      <c r="AL64" s="65">
        <f t="shared" si="38"/>
        <v>12.434782608695652</v>
      </c>
      <c r="AM64" s="65">
        <f t="shared" si="38"/>
        <v>12.260869565217391</v>
      </c>
      <c r="AN64" s="65">
        <f t="shared" si="38"/>
        <v>12.086956521739131</v>
      </c>
      <c r="AO64" s="65">
        <f t="shared" si="38"/>
        <v>11.913043478260871</v>
      </c>
      <c r="AP64" s="65">
        <f t="shared" si="38"/>
        <v>11.739130434782609</v>
      </c>
      <c r="AQ64" s="65">
        <f t="shared" si="38"/>
        <v>11.565217391304348</v>
      </c>
      <c r="AR64" s="65">
        <f t="shared" si="38"/>
        <v>11.391304347826086</v>
      </c>
    </row>
    <row r="65" spans="1:44" s="65" customFormat="1">
      <c r="C65" s="188" t="s">
        <v>269</v>
      </c>
      <c r="D65" s="65">
        <f t="shared" si="35"/>
        <v>5.7391304347826084</v>
      </c>
      <c r="E65" s="65">
        <f t="shared" si="35"/>
        <v>5.8695652173913047</v>
      </c>
      <c r="F65" s="70">
        <v>6</v>
      </c>
      <c r="G65" s="65">
        <f t="shared" si="36"/>
        <v>6.1304347826086953</v>
      </c>
      <c r="H65" s="65">
        <f t="shared" si="36"/>
        <v>6.2608695652173916</v>
      </c>
      <c r="I65" s="65">
        <f t="shared" si="36"/>
        <v>6.3913043478260869</v>
      </c>
      <c r="J65" s="65">
        <f t="shared" si="36"/>
        <v>6.5217391304347823</v>
      </c>
      <c r="K65" s="65">
        <f t="shared" si="36"/>
        <v>6.6521739130434785</v>
      </c>
      <c r="L65" s="65">
        <f t="shared" si="36"/>
        <v>6.7826086956521738</v>
      </c>
      <c r="M65" s="65">
        <f t="shared" si="36"/>
        <v>6.9130434782608692</v>
      </c>
      <c r="N65" s="65">
        <f t="shared" si="36"/>
        <v>7.0434782608695654</v>
      </c>
      <c r="O65" s="65">
        <f t="shared" si="36"/>
        <v>7.1739130434782608</v>
      </c>
      <c r="P65" s="65">
        <f t="shared" si="36"/>
        <v>7.304347826086957</v>
      </c>
      <c r="Q65" s="65">
        <f t="shared" si="36"/>
        <v>7.4347826086956523</v>
      </c>
      <c r="R65" s="65">
        <f t="shared" si="36"/>
        <v>7.5652173913043477</v>
      </c>
      <c r="S65" s="65">
        <f t="shared" si="36"/>
        <v>7.695652173913043</v>
      </c>
      <c r="T65" s="65">
        <f t="shared" si="36"/>
        <v>7.8260869565217392</v>
      </c>
      <c r="U65" s="65">
        <f t="shared" si="36"/>
        <v>7.9565217391304346</v>
      </c>
      <c r="V65" s="65">
        <f t="shared" si="36"/>
        <v>8.0869565217391308</v>
      </c>
      <c r="W65" s="65">
        <f t="shared" si="37"/>
        <v>8.2173913043478262</v>
      </c>
      <c r="X65" s="65">
        <f t="shared" si="37"/>
        <v>8.3478260869565215</v>
      </c>
      <c r="Y65" s="65">
        <f t="shared" si="37"/>
        <v>8.4782608695652169</v>
      </c>
      <c r="Z65" s="65">
        <f t="shared" si="37"/>
        <v>8.608695652173914</v>
      </c>
      <c r="AA65" s="65">
        <f t="shared" si="37"/>
        <v>8.7391304347826093</v>
      </c>
      <c r="AB65" s="65">
        <f t="shared" si="37"/>
        <v>8.8695652173913047</v>
      </c>
      <c r="AC65" s="70">
        <v>9</v>
      </c>
      <c r="AD65" s="65">
        <f t="shared" si="38"/>
        <v>9.1304347826086953</v>
      </c>
      <c r="AE65" s="65">
        <f t="shared" si="38"/>
        <v>9.2608695652173907</v>
      </c>
      <c r="AF65" s="65">
        <f t="shared" si="38"/>
        <v>9.391304347826086</v>
      </c>
      <c r="AG65" s="65">
        <f t="shared" si="38"/>
        <v>9.5217391304347831</v>
      </c>
      <c r="AH65" s="65">
        <f t="shared" si="38"/>
        <v>9.6521739130434785</v>
      </c>
      <c r="AI65" s="65">
        <f t="shared" si="38"/>
        <v>9.7826086956521738</v>
      </c>
      <c r="AJ65" s="65">
        <f t="shared" si="38"/>
        <v>9.9130434782608692</v>
      </c>
      <c r="AK65" s="65">
        <f t="shared" si="38"/>
        <v>10.043478260869566</v>
      </c>
      <c r="AL65" s="65">
        <f t="shared" si="38"/>
        <v>10.173913043478262</v>
      </c>
      <c r="AM65" s="65">
        <f t="shared" si="38"/>
        <v>10.304347826086957</v>
      </c>
      <c r="AN65" s="65">
        <f t="shared" si="38"/>
        <v>10.434782608695652</v>
      </c>
      <c r="AO65" s="65">
        <f t="shared" si="38"/>
        <v>10.565217391304348</v>
      </c>
      <c r="AP65" s="65">
        <f t="shared" si="38"/>
        <v>10.695652173913043</v>
      </c>
      <c r="AQ65" s="65">
        <f t="shared" si="38"/>
        <v>10.826086956521738</v>
      </c>
      <c r="AR65" s="65">
        <f t="shared" si="38"/>
        <v>10.956521739130434</v>
      </c>
    </row>
    <row r="66" spans="1:44">
      <c r="C66" s="93" t="s">
        <v>270</v>
      </c>
      <c r="D66" s="185">
        <f t="shared" ref="D66:E66" si="39">((D59*D63)+(D60*D64)+(D61*D65))/3600</f>
        <v>11.266656164671287</v>
      </c>
      <c r="E66" s="185">
        <f t="shared" si="39"/>
        <v>11.455734089477</v>
      </c>
      <c r="F66" s="70">
        <f>((F59*F63)+(F60*F64)+(F61*F65))/3600</f>
        <v>11.65</v>
      </c>
      <c r="G66" s="185">
        <f t="shared" ref="G66:AA66" si="40">((G59*G63)+(G60*G64)+(G61*G65))/3600</f>
        <v>11.849453896240286</v>
      </c>
      <c r="H66" s="185">
        <f t="shared" si="40"/>
        <v>12.054095778197857</v>
      </c>
      <c r="I66" s="185">
        <f t="shared" si="40"/>
        <v>12.263925645872716</v>
      </c>
      <c r="J66" s="185">
        <f t="shared" si="40"/>
        <v>12.47894349926486</v>
      </c>
      <c r="K66" s="185">
        <f t="shared" si="40"/>
        <v>12.699149338374292</v>
      </c>
      <c r="L66" s="185">
        <f t="shared" si="40"/>
        <v>12.924543163201006</v>
      </c>
      <c r="M66" s="185">
        <f t="shared" si="40"/>
        <v>13.155124973745011</v>
      </c>
      <c r="N66" s="185">
        <f t="shared" si="40"/>
        <v>13.390894770006303</v>
      </c>
      <c r="O66" s="185">
        <f t="shared" si="40"/>
        <v>13.631852551984876</v>
      </c>
      <c r="P66" s="185">
        <f t="shared" si="40"/>
        <v>13.877998319680739</v>
      </c>
      <c r="Q66" s="185">
        <f t="shared" si="40"/>
        <v>14.129332073093886</v>
      </c>
      <c r="R66" s="185">
        <f t="shared" si="40"/>
        <v>14.385853812224324</v>
      </c>
      <c r="S66" s="185">
        <f t="shared" si="40"/>
        <v>14.647563537072042</v>
      </c>
      <c r="T66" s="185">
        <f t="shared" si="40"/>
        <v>14.914461247637053</v>
      </c>
      <c r="U66" s="185">
        <f t="shared" si="40"/>
        <v>15.186546943919346</v>
      </c>
      <c r="V66" s="185">
        <f t="shared" si="40"/>
        <v>15.463820625918924</v>
      </c>
      <c r="W66" s="185">
        <f t="shared" si="40"/>
        <v>15.746282293635792</v>
      </c>
      <c r="X66" s="185">
        <f t="shared" si="40"/>
        <v>16.033931947069942</v>
      </c>
      <c r="Y66" s="185">
        <f t="shared" si="40"/>
        <v>16.326769586221381</v>
      </c>
      <c r="Z66" s="185">
        <f t="shared" si="40"/>
        <v>16.62479521109011</v>
      </c>
      <c r="AA66" s="185">
        <f t="shared" si="40"/>
        <v>16.928008821676116</v>
      </c>
      <c r="AB66" s="185">
        <f>((AB59*AB63)+(AB60*AB64)+(AB61*AB65))/3600</f>
        <v>17.236410417979414</v>
      </c>
      <c r="AC66" s="70">
        <f>((AC59*AC63)+(AC60*AC64)+(AC61*AC65))/3600</f>
        <v>17.55</v>
      </c>
      <c r="AD66" s="185">
        <f>((AD59*AD63)+(AD60*AD64)+(AD61*AD65))/3600</f>
        <v>17.868777567737869</v>
      </c>
      <c r="AE66" s="185">
        <f t="shared" ref="AE66:AP66" si="41">((AE59*AE63)+(AE60*AE64)+(AE61*AE65))/3600</f>
        <v>18.192743121193029</v>
      </c>
      <c r="AF66" s="185">
        <f t="shared" si="41"/>
        <v>18.521896660365467</v>
      </c>
      <c r="AG66" s="185">
        <f t="shared" si="41"/>
        <v>18.856238185255201</v>
      </c>
      <c r="AH66" s="185">
        <f t="shared" si="41"/>
        <v>19.195767695862212</v>
      </c>
      <c r="AI66" s="185">
        <f t="shared" si="41"/>
        <v>19.540485192186512</v>
      </c>
      <c r="AJ66" s="185">
        <f t="shared" si="41"/>
        <v>19.890390674228101</v>
      </c>
      <c r="AK66" s="185">
        <f t="shared" si="41"/>
        <v>20.245484141986978</v>
      </c>
      <c r="AL66" s="185">
        <f t="shared" si="41"/>
        <v>20.60576559546314</v>
      </c>
      <c r="AM66" s="185">
        <f t="shared" si="41"/>
        <v>20.971235034656587</v>
      </c>
      <c r="AN66" s="185">
        <f t="shared" si="41"/>
        <v>21.341892459567315</v>
      </c>
      <c r="AO66" s="185">
        <f t="shared" si="41"/>
        <v>21.717737870195339</v>
      </c>
      <c r="AP66" s="185">
        <f t="shared" si="41"/>
        <v>22.098771266540648</v>
      </c>
      <c r="AQ66" s="185">
        <f t="shared" ref="AQ66:AR66" si="42">((AQ59*AQ63)+(AQ60*AQ64)+(AQ61*AQ65))/3600</f>
        <v>22.484992648603232</v>
      </c>
      <c r="AR66" s="185">
        <f t="shared" si="42"/>
        <v>22.876402016383111</v>
      </c>
    </row>
    <row r="68" spans="1:44" s="23" customFormat="1">
      <c r="B68" s="23" t="s">
        <v>264</v>
      </c>
      <c r="D68" s="68"/>
      <c r="E68" s="68"/>
      <c r="F68" s="69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9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</row>
    <row r="69" spans="1:44">
      <c r="C69" t="s">
        <v>258</v>
      </c>
      <c r="D69" s="48">
        <f t="shared" ref="D69:E71" si="43">$F69+(($AC69-$F69)/($AC$4-$F$4))*(D$4-$F$4)</f>
        <v>823.91304347826087</v>
      </c>
      <c r="E69" s="48">
        <f t="shared" si="43"/>
        <v>856.95652173913049</v>
      </c>
      <c r="F69" s="91">
        <v>890</v>
      </c>
      <c r="G69" s="48">
        <f t="shared" ref="G69:AA71" si="44">$F69+(($AC69-$F69)/($AC$4-$F$4))*(G$4-$F$4)</f>
        <v>923.04347826086951</v>
      </c>
      <c r="H69" s="48">
        <f t="shared" si="44"/>
        <v>956.08695652173913</v>
      </c>
      <c r="I69" s="48">
        <f t="shared" si="44"/>
        <v>989.13043478260875</v>
      </c>
      <c r="J69" s="48">
        <f t="shared" si="44"/>
        <v>1022.1739130434783</v>
      </c>
      <c r="K69" s="48">
        <f t="shared" si="44"/>
        <v>1055.2173913043478</v>
      </c>
      <c r="L69" s="48">
        <f t="shared" si="44"/>
        <v>1088.2608695652175</v>
      </c>
      <c r="M69" s="48">
        <f t="shared" si="44"/>
        <v>1121.304347826087</v>
      </c>
      <c r="N69" s="48">
        <f t="shared" si="44"/>
        <v>1154.3478260869565</v>
      </c>
      <c r="O69" s="48">
        <f t="shared" si="44"/>
        <v>1187.391304347826</v>
      </c>
      <c r="P69" s="48">
        <f t="shared" si="44"/>
        <v>1220.4347826086955</v>
      </c>
      <c r="Q69" s="48">
        <f t="shared" si="44"/>
        <v>1253.4782608695652</v>
      </c>
      <c r="R69" s="48">
        <f t="shared" si="44"/>
        <v>1286.5217391304348</v>
      </c>
      <c r="S69" s="48">
        <f t="shared" si="44"/>
        <v>1319.5652173913043</v>
      </c>
      <c r="T69" s="48">
        <f t="shared" si="44"/>
        <v>1352.608695652174</v>
      </c>
      <c r="U69" s="48">
        <f t="shared" si="44"/>
        <v>1385.6521739130435</v>
      </c>
      <c r="V69" s="48">
        <f t="shared" si="44"/>
        <v>1418.695652173913</v>
      </c>
      <c r="W69" s="48">
        <f t="shared" si="44"/>
        <v>1451.7391304347825</v>
      </c>
      <c r="X69" s="48">
        <f t="shared" si="44"/>
        <v>1484.782608695652</v>
      </c>
      <c r="Y69" s="48">
        <f t="shared" si="44"/>
        <v>1517.8260869565217</v>
      </c>
      <c r="Z69" s="48">
        <f t="shared" si="44"/>
        <v>1550.8695652173913</v>
      </c>
      <c r="AA69" s="48">
        <f t="shared" si="44"/>
        <v>1583.9130434782608</v>
      </c>
      <c r="AB69" s="48">
        <f t="shared" ref="AB69:AB71" si="45">$F69+(($AC69-$F69)/($AC$4-$F$4))*(AB$4-$F$4)</f>
        <v>1616.9565217391305</v>
      </c>
      <c r="AC69" s="91">
        <v>1650</v>
      </c>
      <c r="AD69" s="48">
        <f t="shared" ref="AD69:AR71" si="46">$F69+(($AC69-$F69)/($AC$4-$F$4))*(AD$4-$F$4)</f>
        <v>1683.0434782608695</v>
      </c>
      <c r="AE69" s="48">
        <f t="shared" si="46"/>
        <v>1716.086956521739</v>
      </c>
      <c r="AF69" s="48">
        <f t="shared" si="46"/>
        <v>1749.1304347826085</v>
      </c>
      <c r="AG69" s="48">
        <f t="shared" si="46"/>
        <v>1782.1739130434783</v>
      </c>
      <c r="AH69" s="48">
        <f t="shared" si="46"/>
        <v>1815.2173913043478</v>
      </c>
      <c r="AI69" s="48">
        <f t="shared" si="46"/>
        <v>1848.2608695652173</v>
      </c>
      <c r="AJ69" s="48">
        <f t="shared" si="46"/>
        <v>1881.304347826087</v>
      </c>
      <c r="AK69" s="48">
        <f t="shared" si="46"/>
        <v>1914.3478260869565</v>
      </c>
      <c r="AL69" s="48">
        <f t="shared" si="46"/>
        <v>1947.391304347826</v>
      </c>
      <c r="AM69" s="48">
        <f t="shared" si="46"/>
        <v>1980.4347826086955</v>
      </c>
      <c r="AN69" s="48">
        <f t="shared" si="46"/>
        <v>2013.478260869565</v>
      </c>
      <c r="AO69" s="48">
        <f t="shared" si="46"/>
        <v>2046.5217391304348</v>
      </c>
      <c r="AP69" s="48">
        <f t="shared" si="46"/>
        <v>2079.565217391304</v>
      </c>
      <c r="AQ69" s="48">
        <f t="shared" si="46"/>
        <v>2112.608695652174</v>
      </c>
      <c r="AR69" s="48">
        <f t="shared" si="46"/>
        <v>2145.6521739130435</v>
      </c>
    </row>
    <row r="70" spans="1:44">
      <c r="C70" t="s">
        <v>259</v>
      </c>
      <c r="D70" s="48">
        <f t="shared" si="43"/>
        <v>695.21739130434787</v>
      </c>
      <c r="E70" s="48">
        <f t="shared" si="43"/>
        <v>712.60869565217388</v>
      </c>
      <c r="F70" s="91">
        <v>730</v>
      </c>
      <c r="G70" s="48">
        <f t="shared" si="44"/>
        <v>747.39130434782612</v>
      </c>
      <c r="H70" s="48">
        <f t="shared" si="44"/>
        <v>764.78260869565213</v>
      </c>
      <c r="I70" s="48">
        <f t="shared" si="44"/>
        <v>782.17391304347825</v>
      </c>
      <c r="J70" s="48">
        <f t="shared" si="44"/>
        <v>799.56521739130437</v>
      </c>
      <c r="K70" s="48">
        <f t="shared" si="44"/>
        <v>816.95652173913049</v>
      </c>
      <c r="L70" s="48">
        <f t="shared" si="44"/>
        <v>834.3478260869565</v>
      </c>
      <c r="M70" s="48">
        <f t="shared" si="44"/>
        <v>851.73913043478262</v>
      </c>
      <c r="N70" s="48">
        <f t="shared" si="44"/>
        <v>869.13043478260875</v>
      </c>
      <c r="O70" s="48">
        <f t="shared" si="44"/>
        <v>886.52173913043475</v>
      </c>
      <c r="P70" s="48">
        <f t="shared" si="44"/>
        <v>903.91304347826087</v>
      </c>
      <c r="Q70" s="48">
        <f t="shared" si="44"/>
        <v>921.304347826087</v>
      </c>
      <c r="R70" s="48">
        <f t="shared" si="44"/>
        <v>938.695652173913</v>
      </c>
      <c r="S70" s="48">
        <f t="shared" si="44"/>
        <v>956.08695652173913</v>
      </c>
      <c r="T70" s="48">
        <f t="shared" si="44"/>
        <v>973.47826086956525</v>
      </c>
      <c r="U70" s="48">
        <f t="shared" si="44"/>
        <v>990.86956521739125</v>
      </c>
      <c r="V70" s="48">
        <f t="shared" si="44"/>
        <v>1008.2608695652174</v>
      </c>
      <c r="W70" s="48">
        <f t="shared" si="44"/>
        <v>1025.6521739130435</v>
      </c>
      <c r="X70" s="48">
        <f t="shared" si="44"/>
        <v>1043.0434782608695</v>
      </c>
      <c r="Y70" s="48">
        <f t="shared" si="44"/>
        <v>1060.4347826086955</v>
      </c>
      <c r="Z70" s="48">
        <f t="shared" si="44"/>
        <v>1077.8260869565217</v>
      </c>
      <c r="AA70" s="48">
        <f t="shared" si="44"/>
        <v>1095.2173913043478</v>
      </c>
      <c r="AB70" s="48">
        <f t="shared" si="45"/>
        <v>1112.608695652174</v>
      </c>
      <c r="AC70" s="91">
        <v>1130</v>
      </c>
      <c r="AD70" s="48">
        <f t="shared" si="46"/>
        <v>1147.391304347826</v>
      </c>
      <c r="AE70" s="48">
        <f t="shared" si="46"/>
        <v>1164.782608695652</v>
      </c>
      <c r="AF70" s="48">
        <f t="shared" si="46"/>
        <v>1182.1739130434783</v>
      </c>
      <c r="AG70" s="48">
        <f t="shared" si="46"/>
        <v>1199.5652173913043</v>
      </c>
      <c r="AH70" s="48">
        <f t="shared" si="46"/>
        <v>1216.9565217391305</v>
      </c>
      <c r="AI70" s="48">
        <f t="shared" si="46"/>
        <v>1234.3478260869565</v>
      </c>
      <c r="AJ70" s="48">
        <f t="shared" si="46"/>
        <v>1251.7391304347825</v>
      </c>
      <c r="AK70" s="48">
        <f t="shared" si="46"/>
        <v>1269.1304347826085</v>
      </c>
      <c r="AL70" s="48">
        <f t="shared" si="46"/>
        <v>1286.5217391304348</v>
      </c>
      <c r="AM70" s="48">
        <f t="shared" si="46"/>
        <v>1303.913043478261</v>
      </c>
      <c r="AN70" s="48">
        <f t="shared" si="46"/>
        <v>1321.304347826087</v>
      </c>
      <c r="AO70" s="48">
        <f t="shared" si="46"/>
        <v>1338.695652173913</v>
      </c>
      <c r="AP70" s="48">
        <f t="shared" si="46"/>
        <v>1356.086956521739</v>
      </c>
      <c r="AQ70" s="48">
        <f t="shared" si="46"/>
        <v>1373.478260869565</v>
      </c>
      <c r="AR70" s="48">
        <f t="shared" si="46"/>
        <v>1390.8695652173913</v>
      </c>
    </row>
    <row r="71" spans="1:44">
      <c r="C71" t="s">
        <v>271</v>
      </c>
      <c r="D71" s="48">
        <f t="shared" si="43"/>
        <v>383.04347826086956</v>
      </c>
      <c r="E71" s="48">
        <f t="shared" si="43"/>
        <v>386.52173913043481</v>
      </c>
      <c r="F71" s="91">
        <v>390</v>
      </c>
      <c r="G71" s="48">
        <f t="shared" si="44"/>
        <v>393.47826086956519</v>
      </c>
      <c r="H71" s="48">
        <f t="shared" si="44"/>
        <v>396.95652173913044</v>
      </c>
      <c r="I71" s="48">
        <f t="shared" si="44"/>
        <v>400.43478260869563</v>
      </c>
      <c r="J71" s="48">
        <f t="shared" si="44"/>
        <v>403.91304347826087</v>
      </c>
      <c r="K71" s="48">
        <f t="shared" si="44"/>
        <v>407.39130434782606</v>
      </c>
      <c r="L71" s="48">
        <f t="shared" si="44"/>
        <v>410.86956521739131</v>
      </c>
      <c r="M71" s="48">
        <f t="shared" si="44"/>
        <v>414.3478260869565</v>
      </c>
      <c r="N71" s="48">
        <f t="shared" si="44"/>
        <v>417.82608695652175</v>
      </c>
      <c r="O71" s="48">
        <f t="shared" si="44"/>
        <v>421.30434782608694</v>
      </c>
      <c r="P71" s="48">
        <f t="shared" si="44"/>
        <v>424.78260869565219</v>
      </c>
      <c r="Q71" s="48">
        <f t="shared" si="44"/>
        <v>428.26086956521738</v>
      </c>
      <c r="R71" s="48">
        <f t="shared" si="44"/>
        <v>431.73913043478262</v>
      </c>
      <c r="S71" s="48">
        <f t="shared" si="44"/>
        <v>435.21739130434781</v>
      </c>
      <c r="T71" s="48">
        <f t="shared" si="44"/>
        <v>438.69565217391306</v>
      </c>
      <c r="U71" s="48">
        <f t="shared" si="44"/>
        <v>442.17391304347825</v>
      </c>
      <c r="V71" s="48">
        <f t="shared" si="44"/>
        <v>445.6521739130435</v>
      </c>
      <c r="W71" s="48">
        <f t="shared" si="44"/>
        <v>449.13043478260869</v>
      </c>
      <c r="X71" s="48">
        <f t="shared" si="44"/>
        <v>452.60869565217394</v>
      </c>
      <c r="Y71" s="48">
        <f t="shared" si="44"/>
        <v>456.08695652173913</v>
      </c>
      <c r="Z71" s="48">
        <f t="shared" si="44"/>
        <v>459.56521739130437</v>
      </c>
      <c r="AA71" s="48">
        <f t="shared" si="44"/>
        <v>463.04347826086956</v>
      </c>
      <c r="AB71" s="48">
        <f t="shared" si="45"/>
        <v>466.52173913043475</v>
      </c>
      <c r="AC71" s="91">
        <v>470</v>
      </c>
      <c r="AD71" s="48">
        <f t="shared" si="46"/>
        <v>473.47826086956525</v>
      </c>
      <c r="AE71" s="48">
        <f t="shared" si="46"/>
        <v>476.95652173913044</v>
      </c>
      <c r="AF71" s="48">
        <f t="shared" si="46"/>
        <v>480.43478260869563</v>
      </c>
      <c r="AG71" s="48">
        <f t="shared" si="46"/>
        <v>483.91304347826087</v>
      </c>
      <c r="AH71" s="48">
        <f t="shared" si="46"/>
        <v>487.39130434782606</v>
      </c>
      <c r="AI71" s="48">
        <f t="shared" si="46"/>
        <v>490.86956521739131</v>
      </c>
      <c r="AJ71" s="48">
        <f t="shared" si="46"/>
        <v>494.3478260869565</v>
      </c>
      <c r="AK71" s="48">
        <f t="shared" si="46"/>
        <v>497.82608695652175</v>
      </c>
      <c r="AL71" s="48">
        <f t="shared" si="46"/>
        <v>501.30434782608694</v>
      </c>
      <c r="AM71" s="48">
        <f t="shared" si="46"/>
        <v>504.78260869565219</v>
      </c>
      <c r="AN71" s="48">
        <f t="shared" si="46"/>
        <v>508.26086956521738</v>
      </c>
      <c r="AO71" s="48">
        <f t="shared" si="46"/>
        <v>511.73913043478262</v>
      </c>
      <c r="AP71" s="48">
        <f t="shared" si="46"/>
        <v>515.21739130434787</v>
      </c>
      <c r="AQ71" s="48">
        <f t="shared" si="46"/>
        <v>518.695652173913</v>
      </c>
      <c r="AR71" s="48">
        <f t="shared" si="46"/>
        <v>522.17391304347825</v>
      </c>
    </row>
    <row r="72" spans="1:44" s="23" customFormat="1">
      <c r="B72" s="23" t="s">
        <v>265</v>
      </c>
      <c r="D72" s="68"/>
      <c r="E72" s="68"/>
      <c r="F72" s="69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9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</row>
    <row r="73" spans="1:44" s="65" customFormat="1">
      <c r="C73" s="188" t="s">
        <v>258</v>
      </c>
      <c r="D73" s="65">
        <f t="shared" ref="D73:S75" si="47">$F73+(($AC73-$F73)/($AC$4-$F$4))*(D$4-$F$4)</f>
        <v>29.565217391304348</v>
      </c>
      <c r="E73" s="65">
        <f t="shared" si="47"/>
        <v>29.782608695652176</v>
      </c>
      <c r="F73" s="70">
        <v>30</v>
      </c>
      <c r="G73" s="65">
        <f t="shared" ref="G73:Y75" si="48">$F73+(($AC73-$F73)/($AC$4-$F$4))*(G$4-$F$4)</f>
        <v>30.217391304347824</v>
      </c>
      <c r="H73" s="65">
        <f t="shared" si="48"/>
        <v>30.434782608695652</v>
      </c>
      <c r="I73" s="65">
        <f t="shared" si="48"/>
        <v>30.652173913043477</v>
      </c>
      <c r="J73" s="65">
        <f t="shared" si="48"/>
        <v>30.869565217391305</v>
      </c>
      <c r="K73" s="65">
        <f t="shared" si="48"/>
        <v>31.086956521739129</v>
      </c>
      <c r="L73" s="65">
        <f t="shared" si="48"/>
        <v>31.304347826086957</v>
      </c>
      <c r="M73" s="65">
        <f t="shared" si="48"/>
        <v>31.521739130434781</v>
      </c>
      <c r="N73" s="65">
        <f t="shared" si="48"/>
        <v>31.739130434782609</v>
      </c>
      <c r="O73" s="65">
        <f t="shared" si="48"/>
        <v>31.956521739130434</v>
      </c>
      <c r="P73" s="65">
        <f t="shared" si="48"/>
        <v>32.173913043478258</v>
      </c>
      <c r="Q73" s="65">
        <f t="shared" si="48"/>
        <v>32.391304347826086</v>
      </c>
      <c r="R73" s="65">
        <f t="shared" si="48"/>
        <v>32.608695652173914</v>
      </c>
      <c r="S73" s="65">
        <f t="shared" si="48"/>
        <v>32.826086956521742</v>
      </c>
      <c r="T73" s="65">
        <f t="shared" si="48"/>
        <v>33.043478260869563</v>
      </c>
      <c r="U73" s="65">
        <f t="shared" si="48"/>
        <v>33.260869565217391</v>
      </c>
      <c r="V73" s="65">
        <f t="shared" si="48"/>
        <v>33.478260869565219</v>
      </c>
      <c r="W73" s="65">
        <f t="shared" si="48"/>
        <v>33.695652173913047</v>
      </c>
      <c r="X73" s="65">
        <f t="shared" si="48"/>
        <v>33.913043478260867</v>
      </c>
      <c r="Y73" s="65">
        <f t="shared" si="48"/>
        <v>34.130434782608695</v>
      </c>
      <c r="Z73" s="65">
        <f t="shared" ref="W73:AB75" si="49">$F73+(($AC73-$F73)/($AC$4-$F$4))*(Z$4-$F$4)</f>
        <v>34.347826086956523</v>
      </c>
      <c r="AA73" s="65">
        <f t="shared" si="49"/>
        <v>34.565217391304344</v>
      </c>
      <c r="AB73" s="65">
        <f t="shared" si="49"/>
        <v>34.782608695652172</v>
      </c>
      <c r="AC73" s="70">
        <v>35</v>
      </c>
      <c r="AD73" s="65">
        <f t="shared" ref="AD73:AR75" si="50">$F73+(($AC73-$F73)/($AC$4-$F$4))*(AD$4-$F$4)</f>
        <v>35.217391304347828</v>
      </c>
      <c r="AE73" s="65">
        <f t="shared" si="50"/>
        <v>35.434782608695656</v>
      </c>
      <c r="AF73" s="65">
        <f t="shared" si="50"/>
        <v>35.652173913043477</v>
      </c>
      <c r="AG73" s="65">
        <f t="shared" si="50"/>
        <v>35.869565217391305</v>
      </c>
      <c r="AH73" s="65">
        <f t="shared" si="50"/>
        <v>36.086956521739133</v>
      </c>
      <c r="AI73" s="65">
        <f t="shared" si="50"/>
        <v>36.304347826086953</v>
      </c>
      <c r="AJ73" s="65">
        <f t="shared" si="50"/>
        <v>36.521739130434781</v>
      </c>
      <c r="AK73" s="65">
        <f t="shared" si="50"/>
        <v>36.739130434782609</v>
      </c>
      <c r="AL73" s="65">
        <f t="shared" si="50"/>
        <v>36.956521739130437</v>
      </c>
      <c r="AM73" s="65">
        <f t="shared" si="50"/>
        <v>37.173913043478258</v>
      </c>
      <c r="AN73" s="65">
        <f t="shared" si="50"/>
        <v>37.391304347826086</v>
      </c>
      <c r="AO73" s="65">
        <f t="shared" si="50"/>
        <v>37.608695652173914</v>
      </c>
      <c r="AP73" s="65">
        <f t="shared" si="50"/>
        <v>37.826086956521742</v>
      </c>
      <c r="AQ73" s="65">
        <f t="shared" si="50"/>
        <v>38.043478260869563</v>
      </c>
      <c r="AR73" s="65">
        <f t="shared" si="50"/>
        <v>38.260869565217391</v>
      </c>
    </row>
    <row r="74" spans="1:44" s="65" customFormat="1">
      <c r="C74" s="188" t="s">
        <v>259</v>
      </c>
      <c r="D74" s="65">
        <f t="shared" si="47"/>
        <v>9.7391304347826093</v>
      </c>
      <c r="E74" s="65">
        <f t="shared" si="47"/>
        <v>9.8695652173913047</v>
      </c>
      <c r="F74" s="70">
        <v>10</v>
      </c>
      <c r="G74" s="65">
        <f t="shared" si="48"/>
        <v>10.130434782608695</v>
      </c>
      <c r="H74" s="65">
        <f t="shared" si="48"/>
        <v>10.260869565217391</v>
      </c>
      <c r="I74" s="65">
        <f t="shared" si="48"/>
        <v>10.391304347826086</v>
      </c>
      <c r="J74" s="65">
        <f t="shared" si="48"/>
        <v>10.521739130434783</v>
      </c>
      <c r="K74" s="65">
        <f t="shared" si="48"/>
        <v>10.652173913043478</v>
      </c>
      <c r="L74" s="65">
        <f t="shared" si="48"/>
        <v>10.782608695652174</v>
      </c>
      <c r="M74" s="65">
        <f t="shared" si="48"/>
        <v>10.913043478260869</v>
      </c>
      <c r="N74" s="65">
        <f t="shared" si="48"/>
        <v>11.043478260869565</v>
      </c>
      <c r="O74" s="65">
        <f t="shared" si="48"/>
        <v>11.173913043478262</v>
      </c>
      <c r="P74" s="65">
        <f t="shared" si="48"/>
        <v>11.304347826086957</v>
      </c>
      <c r="Q74" s="65">
        <f t="shared" si="48"/>
        <v>11.434782608695652</v>
      </c>
      <c r="R74" s="65">
        <f t="shared" si="48"/>
        <v>11.565217391304348</v>
      </c>
      <c r="S74" s="65">
        <f t="shared" si="48"/>
        <v>11.695652173913043</v>
      </c>
      <c r="T74" s="65">
        <f t="shared" si="48"/>
        <v>11.826086956521738</v>
      </c>
      <c r="U74" s="65">
        <f t="shared" si="48"/>
        <v>11.956521739130435</v>
      </c>
      <c r="V74" s="65">
        <f t="shared" si="48"/>
        <v>12.086956521739131</v>
      </c>
      <c r="W74" s="65">
        <f t="shared" si="49"/>
        <v>12.217391304347826</v>
      </c>
      <c r="X74" s="65">
        <f t="shared" si="49"/>
        <v>12.347826086956522</v>
      </c>
      <c r="Y74" s="65">
        <f t="shared" si="49"/>
        <v>12.478260869565217</v>
      </c>
      <c r="Z74" s="65">
        <f t="shared" si="49"/>
        <v>12.608695652173914</v>
      </c>
      <c r="AA74" s="65">
        <f t="shared" si="49"/>
        <v>12.739130434782609</v>
      </c>
      <c r="AB74" s="65">
        <f t="shared" si="49"/>
        <v>12.869565217391305</v>
      </c>
      <c r="AC74" s="70">
        <v>13</v>
      </c>
      <c r="AD74" s="65">
        <f t="shared" si="50"/>
        <v>13.130434782608695</v>
      </c>
      <c r="AE74" s="65">
        <f t="shared" si="50"/>
        <v>13.260869565217391</v>
      </c>
      <c r="AF74" s="65">
        <f t="shared" si="50"/>
        <v>13.391304347826086</v>
      </c>
      <c r="AG74" s="65">
        <f t="shared" si="50"/>
        <v>13.521739130434783</v>
      </c>
      <c r="AH74" s="65">
        <f t="shared" si="50"/>
        <v>13.652173913043478</v>
      </c>
      <c r="AI74" s="65">
        <f t="shared" si="50"/>
        <v>13.782608695652174</v>
      </c>
      <c r="AJ74" s="65">
        <f t="shared" si="50"/>
        <v>13.913043478260869</v>
      </c>
      <c r="AK74" s="65">
        <f t="shared" si="50"/>
        <v>14.043478260869566</v>
      </c>
      <c r="AL74" s="65">
        <f t="shared" si="50"/>
        <v>14.173913043478262</v>
      </c>
      <c r="AM74" s="65">
        <f t="shared" si="50"/>
        <v>14.304347826086957</v>
      </c>
      <c r="AN74" s="65">
        <f t="shared" si="50"/>
        <v>14.434782608695652</v>
      </c>
      <c r="AO74" s="65">
        <f t="shared" si="50"/>
        <v>14.565217391304348</v>
      </c>
      <c r="AP74" s="65">
        <f t="shared" si="50"/>
        <v>14.695652173913043</v>
      </c>
      <c r="AQ74" s="65">
        <f t="shared" si="50"/>
        <v>14.826086956521738</v>
      </c>
      <c r="AR74" s="65">
        <f t="shared" si="50"/>
        <v>14.956521739130434</v>
      </c>
    </row>
    <row r="75" spans="1:44" s="65" customFormat="1">
      <c r="C75" s="188" t="s">
        <v>271</v>
      </c>
      <c r="D75" s="65">
        <f t="shared" si="47"/>
        <v>6</v>
      </c>
      <c r="E75" s="65">
        <f t="shared" si="47"/>
        <v>6</v>
      </c>
      <c r="F75" s="70">
        <v>6</v>
      </c>
      <c r="G75" s="65">
        <f t="shared" si="47"/>
        <v>6</v>
      </c>
      <c r="H75" s="65">
        <f t="shared" si="47"/>
        <v>6</v>
      </c>
      <c r="I75" s="65">
        <f t="shared" si="47"/>
        <v>6</v>
      </c>
      <c r="J75" s="65">
        <f t="shared" si="47"/>
        <v>6</v>
      </c>
      <c r="K75" s="65">
        <f t="shared" si="47"/>
        <v>6</v>
      </c>
      <c r="L75" s="65">
        <f t="shared" si="47"/>
        <v>6</v>
      </c>
      <c r="M75" s="65">
        <f t="shared" si="47"/>
        <v>6</v>
      </c>
      <c r="N75" s="65">
        <f t="shared" si="47"/>
        <v>6</v>
      </c>
      <c r="O75" s="65">
        <f t="shared" si="47"/>
        <v>6</v>
      </c>
      <c r="P75" s="65">
        <f t="shared" si="47"/>
        <v>6</v>
      </c>
      <c r="Q75" s="65">
        <f t="shared" si="47"/>
        <v>6</v>
      </c>
      <c r="R75" s="65">
        <f t="shared" si="47"/>
        <v>6</v>
      </c>
      <c r="S75" s="65">
        <f t="shared" si="47"/>
        <v>6</v>
      </c>
      <c r="T75" s="65">
        <f t="shared" si="48"/>
        <v>6</v>
      </c>
      <c r="U75" s="65">
        <f t="shared" si="48"/>
        <v>6</v>
      </c>
      <c r="V75" s="65">
        <f t="shared" si="48"/>
        <v>6</v>
      </c>
      <c r="W75" s="65">
        <f t="shared" si="49"/>
        <v>6</v>
      </c>
      <c r="X75" s="65">
        <f t="shared" si="49"/>
        <v>6</v>
      </c>
      <c r="Y75" s="65">
        <f t="shared" si="49"/>
        <v>6</v>
      </c>
      <c r="Z75" s="65">
        <f t="shared" si="49"/>
        <v>6</v>
      </c>
      <c r="AA75" s="65">
        <f t="shared" si="49"/>
        <v>6</v>
      </c>
      <c r="AB75" s="65">
        <f t="shared" si="49"/>
        <v>6</v>
      </c>
      <c r="AC75" s="70">
        <v>6</v>
      </c>
      <c r="AD75" s="65">
        <f t="shared" si="50"/>
        <v>6</v>
      </c>
      <c r="AE75" s="65">
        <f t="shared" si="50"/>
        <v>6</v>
      </c>
      <c r="AF75" s="65">
        <f t="shared" si="50"/>
        <v>6</v>
      </c>
      <c r="AG75" s="65">
        <f t="shared" si="50"/>
        <v>6</v>
      </c>
      <c r="AH75" s="65">
        <f t="shared" si="50"/>
        <v>6</v>
      </c>
      <c r="AI75" s="65">
        <f t="shared" si="50"/>
        <v>6</v>
      </c>
      <c r="AJ75" s="65">
        <f t="shared" si="50"/>
        <v>6</v>
      </c>
      <c r="AK75" s="65">
        <f t="shared" si="50"/>
        <v>6</v>
      </c>
      <c r="AL75" s="65">
        <f t="shared" si="50"/>
        <v>6</v>
      </c>
      <c r="AM75" s="65">
        <f t="shared" si="50"/>
        <v>6</v>
      </c>
      <c r="AN75" s="65">
        <f t="shared" si="50"/>
        <v>6</v>
      </c>
      <c r="AO75" s="65">
        <f t="shared" si="50"/>
        <v>6</v>
      </c>
      <c r="AP75" s="65">
        <f t="shared" si="50"/>
        <v>6</v>
      </c>
      <c r="AQ75" s="65">
        <f t="shared" si="50"/>
        <v>6</v>
      </c>
      <c r="AR75" s="65">
        <f t="shared" si="50"/>
        <v>6</v>
      </c>
    </row>
    <row r="76" spans="1:44">
      <c r="C76" s="93" t="s">
        <v>272</v>
      </c>
      <c r="D76" s="185">
        <f t="shared" ref="D76:E76" si="51">((D69*D73)+(D70*D74)+(D71*D75))/3600</f>
        <v>9.2856227683259824</v>
      </c>
      <c r="E76" s="185">
        <f t="shared" si="51"/>
        <v>9.6874081075404348</v>
      </c>
      <c r="F76" s="70">
        <f>((F69*F73)+(F70*F74)+(F71*F75))/3600</f>
        <v>10.094444444444445</v>
      </c>
      <c r="G76" s="185">
        <f t="shared" ref="G76:AA76" si="52">((G69*G73)+(G70*G74)+(G71*G75))/3600</f>
        <v>10.506731779038017</v>
      </c>
      <c r="H76" s="185">
        <f t="shared" si="52"/>
        <v>10.92427011132115</v>
      </c>
      <c r="I76" s="185">
        <f t="shared" si="52"/>
        <v>11.347059441293846</v>
      </c>
      <c r="J76" s="185">
        <f t="shared" si="52"/>
        <v>11.775099768956101</v>
      </c>
      <c r="K76" s="185">
        <f t="shared" si="52"/>
        <v>12.208391094307919</v>
      </c>
      <c r="L76" s="185">
        <f t="shared" si="52"/>
        <v>12.646933417349299</v>
      </c>
      <c r="M76" s="185">
        <f t="shared" si="52"/>
        <v>13.090726738080233</v>
      </c>
      <c r="N76" s="185">
        <f t="shared" si="52"/>
        <v>13.539771056500735</v>
      </c>
      <c r="O76" s="185">
        <f t="shared" si="52"/>
        <v>13.994066372610794</v>
      </c>
      <c r="P76" s="185">
        <f t="shared" si="52"/>
        <v>14.453612686410416</v>
      </c>
      <c r="Q76" s="185">
        <f t="shared" si="52"/>
        <v>14.918409997899602</v>
      </c>
      <c r="R76" s="185">
        <f t="shared" si="52"/>
        <v>15.388458307078345</v>
      </c>
      <c r="S76" s="185">
        <f t="shared" si="52"/>
        <v>15.863757613946648</v>
      </c>
      <c r="T76" s="185">
        <f t="shared" si="52"/>
        <v>16.344307918504519</v>
      </c>
      <c r="U76" s="185">
        <f t="shared" si="52"/>
        <v>16.830109220751943</v>
      </c>
      <c r="V76" s="185">
        <f t="shared" si="52"/>
        <v>17.321161520688932</v>
      </c>
      <c r="W76" s="185">
        <f t="shared" si="52"/>
        <v>17.817464818315482</v>
      </c>
      <c r="X76" s="185">
        <f t="shared" si="52"/>
        <v>18.319019113631587</v>
      </c>
      <c r="Y76" s="185">
        <f t="shared" si="52"/>
        <v>18.82582440663726</v>
      </c>
      <c r="Z76" s="185">
        <f t="shared" si="52"/>
        <v>19.337880697332491</v>
      </c>
      <c r="AA76" s="185">
        <f t="shared" si="52"/>
        <v>19.855187985717283</v>
      </c>
      <c r="AB76" s="185">
        <f>((AB69*AB73)+(AB70*AB74)+(AB71*AB75))/3600</f>
        <v>20.37774627179164</v>
      </c>
      <c r="AC76" s="70">
        <f>((AC69*AC73)+(AC70*AC74)+(AC71*AC75))/3600</f>
        <v>20.905555555555555</v>
      </c>
      <c r="AD76" s="185">
        <f>((AD69*AD73)+(AD70*AD74)+(AD71*AD75))/3600</f>
        <v>21.438615837009031</v>
      </c>
      <c r="AE76" s="185">
        <f t="shared" ref="AE76:AP76" si="53">((AE69*AE73)+(AE70*AE74)+(AE71*AE75))/3600</f>
        <v>21.976927116152069</v>
      </c>
      <c r="AF76" s="185">
        <f t="shared" si="53"/>
        <v>22.520489392984665</v>
      </c>
      <c r="AG76" s="185">
        <f t="shared" si="53"/>
        <v>23.069302667506825</v>
      </c>
      <c r="AH76" s="185">
        <f t="shared" si="53"/>
        <v>23.623366939718547</v>
      </c>
      <c r="AI76" s="185">
        <f t="shared" si="53"/>
        <v>24.182682209619824</v>
      </c>
      <c r="AJ76" s="185">
        <f t="shared" si="53"/>
        <v>24.747248477210668</v>
      </c>
      <c r="AK76" s="185">
        <f t="shared" si="53"/>
        <v>25.317065742491071</v>
      </c>
      <c r="AL76" s="185">
        <f t="shared" si="53"/>
        <v>25.892134005461042</v>
      </c>
      <c r="AM76" s="185">
        <f t="shared" si="53"/>
        <v>26.472453266120564</v>
      </c>
      <c r="AN76" s="185">
        <f t="shared" si="53"/>
        <v>27.05802352446965</v>
      </c>
      <c r="AO76" s="185">
        <f t="shared" si="53"/>
        <v>27.648844780508298</v>
      </c>
      <c r="AP76" s="185">
        <f t="shared" si="53"/>
        <v>28.244917034236501</v>
      </c>
      <c r="AQ76" s="185">
        <f t="shared" ref="AQ76:AR76" si="54">((AQ69*AQ73)+(AQ70*AQ74)+(AQ71*AQ75))/3600</f>
        <v>28.846240285654272</v>
      </c>
      <c r="AR76" s="185">
        <f t="shared" si="54"/>
        <v>29.4528145347616</v>
      </c>
    </row>
    <row r="77" spans="1:44"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</row>
    <row r="78" spans="1:44">
      <c r="C78" s="92" t="s">
        <v>273</v>
      </c>
      <c r="D78" s="65">
        <f>D76+D66</f>
        <v>20.552278932997268</v>
      </c>
      <c r="E78" s="65">
        <f>E76+E66</f>
        <v>21.143142197017433</v>
      </c>
      <c r="F78" s="70">
        <f>F66+F76</f>
        <v>21.744444444444447</v>
      </c>
      <c r="G78" s="65">
        <f>G76+G66</f>
        <v>22.356185675278304</v>
      </c>
      <c r="H78" s="65">
        <f t="shared" ref="H78:AA78" si="55">H76+H66</f>
        <v>22.978365889519004</v>
      </c>
      <c r="I78" s="65">
        <f t="shared" si="55"/>
        <v>23.610985087166561</v>
      </c>
      <c r="J78" s="65">
        <f t="shared" si="55"/>
        <v>24.254043268220961</v>
      </c>
      <c r="K78" s="65">
        <f t="shared" si="55"/>
        <v>24.907540432682211</v>
      </c>
      <c r="L78" s="65">
        <f t="shared" si="55"/>
        <v>25.571476580550303</v>
      </c>
      <c r="M78" s="65">
        <f t="shared" si="55"/>
        <v>26.245851711825246</v>
      </c>
      <c r="N78" s="65">
        <f t="shared" si="55"/>
        <v>26.930665826507038</v>
      </c>
      <c r="O78" s="65">
        <f t="shared" si="55"/>
        <v>27.62591892459567</v>
      </c>
      <c r="P78" s="65">
        <f t="shared" si="55"/>
        <v>28.331611006091155</v>
      </c>
      <c r="Q78" s="65">
        <f t="shared" si="55"/>
        <v>29.047742070993486</v>
      </c>
      <c r="R78" s="65">
        <f t="shared" si="55"/>
        <v>29.774312119302671</v>
      </c>
      <c r="S78" s="65">
        <f t="shared" si="55"/>
        <v>30.511321151018691</v>
      </c>
      <c r="T78" s="65">
        <f t="shared" si="55"/>
        <v>31.258769166141573</v>
      </c>
      <c r="U78" s="65">
        <f t="shared" si="55"/>
        <v>32.016656164671289</v>
      </c>
      <c r="V78" s="65">
        <f t="shared" si="55"/>
        <v>32.784982146607859</v>
      </c>
      <c r="W78" s="65">
        <f t="shared" si="55"/>
        <v>33.563747111951272</v>
      </c>
      <c r="X78" s="65">
        <f t="shared" si="55"/>
        <v>34.352951060701528</v>
      </c>
      <c r="Y78" s="65">
        <f t="shared" si="55"/>
        <v>35.152593992858641</v>
      </c>
      <c r="Z78" s="65">
        <f t="shared" si="55"/>
        <v>35.962675908422597</v>
      </c>
      <c r="AA78" s="65">
        <f t="shared" si="55"/>
        <v>36.783196807393395</v>
      </c>
      <c r="AB78" s="65">
        <f>AB76+AB66</f>
        <v>37.61415668977105</v>
      </c>
      <c r="AC78" s="70">
        <f>AC66+AC76</f>
        <v>38.455555555555556</v>
      </c>
      <c r="AD78" s="65">
        <f>AD76+AD66</f>
        <v>39.307393404746904</v>
      </c>
      <c r="AE78" s="65">
        <f t="shared" ref="AE78:AP78" si="56">AE76+AE66</f>
        <v>40.169670237345102</v>
      </c>
      <c r="AF78" s="65">
        <f t="shared" si="56"/>
        <v>41.042386053350128</v>
      </c>
      <c r="AG78" s="65">
        <f t="shared" si="56"/>
        <v>41.925540852762026</v>
      </c>
      <c r="AH78" s="65">
        <f t="shared" si="56"/>
        <v>42.81913463558076</v>
      </c>
      <c r="AI78" s="65">
        <f t="shared" si="56"/>
        <v>43.723167401806336</v>
      </c>
      <c r="AJ78" s="65">
        <f t="shared" si="56"/>
        <v>44.637639151438769</v>
      </c>
      <c r="AK78" s="65">
        <f t="shared" si="56"/>
        <v>45.562549884478045</v>
      </c>
      <c r="AL78" s="65">
        <f t="shared" si="56"/>
        <v>46.497899600924185</v>
      </c>
      <c r="AM78" s="65">
        <f t="shared" si="56"/>
        <v>47.443688300777154</v>
      </c>
      <c r="AN78" s="65">
        <f t="shared" si="56"/>
        <v>48.399915984036966</v>
      </c>
      <c r="AO78" s="65">
        <f t="shared" si="56"/>
        <v>49.366582650703634</v>
      </c>
      <c r="AP78" s="65">
        <f t="shared" si="56"/>
        <v>50.343688300777146</v>
      </c>
      <c r="AQ78" s="65">
        <f t="shared" ref="AQ78:AR78" si="57">AQ76+AQ66</f>
        <v>51.3312329342575</v>
      </c>
      <c r="AR78" s="65">
        <f t="shared" si="57"/>
        <v>52.329216551144711</v>
      </c>
    </row>
    <row r="80" spans="1:44" ht="15">
      <c r="A80" s="31" t="s">
        <v>274</v>
      </c>
      <c r="B80" s="36"/>
      <c r="C80" s="34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</row>
    <row r="81" spans="2:44" s="23" customFormat="1">
      <c r="B81" s="23" t="s">
        <v>71</v>
      </c>
      <c r="D81" s="68"/>
      <c r="E81" s="68"/>
      <c r="F81" s="69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9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</row>
    <row r="82" spans="2:44">
      <c r="C82" t="s">
        <v>275</v>
      </c>
      <c r="D82" s="48">
        <f>$F82+(($AC82-$F82)/($AC$4-$F$4))*(D$4-$F$4)</f>
        <v>40</v>
      </c>
      <c r="E82" s="48">
        <f>$F82+(($AC82-$F82)/($AC$4-$F$4))*(E$4-$F$4)</f>
        <v>50</v>
      </c>
      <c r="F82" s="155">
        <v>60</v>
      </c>
      <c r="G82" s="48">
        <f>$F82+(($AC82-$F82)/($AC$4-$F$4))*(G$4-$F$4)</f>
        <v>70</v>
      </c>
      <c r="H82" s="48">
        <f t="shared" ref="H82:AE85" si="58">$F82+(($AC82-$F82)/($AC$4-$F$4))*(H$4-$F$4)</f>
        <v>80</v>
      </c>
      <c r="I82" s="48">
        <f t="shared" si="58"/>
        <v>90</v>
      </c>
      <c r="J82" s="48">
        <f t="shared" si="58"/>
        <v>100</v>
      </c>
      <c r="K82" s="48">
        <f t="shared" si="58"/>
        <v>110</v>
      </c>
      <c r="L82" s="48">
        <f t="shared" si="58"/>
        <v>120</v>
      </c>
      <c r="M82" s="48">
        <f t="shared" si="58"/>
        <v>130</v>
      </c>
      <c r="N82" s="48">
        <f t="shared" si="58"/>
        <v>140</v>
      </c>
      <c r="O82" s="48">
        <f t="shared" si="58"/>
        <v>150</v>
      </c>
      <c r="P82" s="48">
        <f t="shared" si="58"/>
        <v>160</v>
      </c>
      <c r="Q82" s="48">
        <f t="shared" si="58"/>
        <v>170</v>
      </c>
      <c r="R82" s="48">
        <f t="shared" si="58"/>
        <v>180</v>
      </c>
      <c r="S82" s="48">
        <f t="shared" si="58"/>
        <v>190</v>
      </c>
      <c r="T82" s="48">
        <f t="shared" si="58"/>
        <v>200</v>
      </c>
      <c r="U82" s="48">
        <f t="shared" si="58"/>
        <v>210</v>
      </c>
      <c r="V82" s="48">
        <f t="shared" si="58"/>
        <v>220</v>
      </c>
      <c r="W82" s="48">
        <f t="shared" si="58"/>
        <v>230</v>
      </c>
      <c r="X82" s="48">
        <f t="shared" si="58"/>
        <v>240</v>
      </c>
      <c r="Y82" s="48">
        <f t="shared" si="58"/>
        <v>250</v>
      </c>
      <c r="Z82" s="48">
        <f t="shared" si="58"/>
        <v>260</v>
      </c>
      <c r="AA82" s="48">
        <f t="shared" si="58"/>
        <v>270</v>
      </c>
      <c r="AB82" s="48">
        <f t="shared" si="58"/>
        <v>280</v>
      </c>
      <c r="AC82" s="155">
        <v>290</v>
      </c>
      <c r="AD82" s="48">
        <f>$F82+(($AC82-$F82)/($AC$4-$F$4))*(AD$4-$F$4)</f>
        <v>300</v>
      </c>
      <c r="AE82" s="48">
        <f t="shared" ref="AE82:AR85" si="59">$F82+(($AC82-$F82)/($AC$4-$F$4))*(AE$4-$F$4)</f>
        <v>310</v>
      </c>
      <c r="AF82" s="48">
        <f t="shared" si="59"/>
        <v>320</v>
      </c>
      <c r="AG82" s="48">
        <f t="shared" si="59"/>
        <v>330</v>
      </c>
      <c r="AH82" s="48">
        <f t="shared" si="59"/>
        <v>340</v>
      </c>
      <c r="AI82" s="48">
        <f t="shared" si="59"/>
        <v>350</v>
      </c>
      <c r="AJ82" s="48">
        <f t="shared" si="59"/>
        <v>360</v>
      </c>
      <c r="AK82" s="48">
        <f t="shared" si="59"/>
        <v>370</v>
      </c>
      <c r="AL82" s="48">
        <f t="shared" si="59"/>
        <v>380</v>
      </c>
      <c r="AM82" s="48">
        <f t="shared" si="59"/>
        <v>390</v>
      </c>
      <c r="AN82" s="48">
        <f t="shared" si="59"/>
        <v>400</v>
      </c>
      <c r="AO82" s="48">
        <f t="shared" si="59"/>
        <v>410</v>
      </c>
      <c r="AP82" s="48">
        <f t="shared" si="59"/>
        <v>420</v>
      </c>
      <c r="AQ82" s="48">
        <f t="shared" si="59"/>
        <v>430</v>
      </c>
      <c r="AR82" s="48">
        <f t="shared" si="59"/>
        <v>440</v>
      </c>
    </row>
    <row r="83" spans="2:44">
      <c r="C83" t="s">
        <v>276</v>
      </c>
      <c r="D83" s="48">
        <f t="shared" ref="D83:S85" si="60">$F83+(($AC83-$F83)/($AC$4-$F$4))*(D$4-$F$4)</f>
        <v>263.91304347826087</v>
      </c>
      <c r="E83" s="48">
        <f t="shared" si="60"/>
        <v>266.95652173913044</v>
      </c>
      <c r="F83" s="155">
        <v>270</v>
      </c>
      <c r="G83" s="48">
        <f t="shared" si="60"/>
        <v>273.04347826086956</v>
      </c>
      <c r="H83" s="48">
        <f t="shared" si="60"/>
        <v>276.08695652173913</v>
      </c>
      <c r="I83" s="48">
        <f t="shared" si="60"/>
        <v>279.13043478260869</v>
      </c>
      <c r="J83" s="48">
        <f t="shared" si="60"/>
        <v>282.17391304347825</v>
      </c>
      <c r="K83" s="48">
        <f t="shared" si="60"/>
        <v>285.21739130434781</v>
      </c>
      <c r="L83" s="48">
        <f t="shared" si="60"/>
        <v>288.26086956521738</v>
      </c>
      <c r="M83" s="48">
        <f t="shared" si="60"/>
        <v>291.30434782608694</v>
      </c>
      <c r="N83" s="48">
        <f t="shared" si="60"/>
        <v>294.3478260869565</v>
      </c>
      <c r="O83" s="48">
        <f t="shared" si="60"/>
        <v>297.39130434782606</v>
      </c>
      <c r="P83" s="48">
        <f t="shared" si="60"/>
        <v>300.43478260869563</v>
      </c>
      <c r="Q83" s="48">
        <f t="shared" si="60"/>
        <v>303.47826086956525</v>
      </c>
      <c r="R83" s="48">
        <f t="shared" si="60"/>
        <v>306.52173913043475</v>
      </c>
      <c r="S83" s="48">
        <f t="shared" si="60"/>
        <v>309.56521739130437</v>
      </c>
      <c r="T83" s="48">
        <f t="shared" si="58"/>
        <v>312.60869565217394</v>
      </c>
      <c r="U83" s="48">
        <f t="shared" si="58"/>
        <v>315.6521739130435</v>
      </c>
      <c r="V83" s="48">
        <f t="shared" si="58"/>
        <v>318.69565217391306</v>
      </c>
      <c r="W83" s="48">
        <f t="shared" si="58"/>
        <v>321.73913043478262</v>
      </c>
      <c r="X83" s="48">
        <f t="shared" si="58"/>
        <v>324.78260869565219</v>
      </c>
      <c r="Y83" s="48">
        <f t="shared" si="58"/>
        <v>327.82608695652175</v>
      </c>
      <c r="Z83" s="48">
        <f t="shared" si="58"/>
        <v>330.86956521739131</v>
      </c>
      <c r="AA83" s="48">
        <f t="shared" si="58"/>
        <v>333.91304347826087</v>
      </c>
      <c r="AB83" s="48">
        <f t="shared" si="58"/>
        <v>336.95652173913044</v>
      </c>
      <c r="AC83" s="155">
        <v>340</v>
      </c>
      <c r="AD83" s="48">
        <f t="shared" si="58"/>
        <v>343.04347826086956</v>
      </c>
      <c r="AE83" s="48">
        <f t="shared" si="58"/>
        <v>346.08695652173913</v>
      </c>
      <c r="AF83" s="48">
        <f t="shared" si="59"/>
        <v>349.13043478260869</v>
      </c>
      <c r="AG83" s="48">
        <f t="shared" si="59"/>
        <v>352.17391304347825</v>
      </c>
      <c r="AH83" s="48">
        <f t="shared" si="59"/>
        <v>355.21739130434781</v>
      </c>
      <c r="AI83" s="48">
        <f t="shared" si="59"/>
        <v>358.26086956521738</v>
      </c>
      <c r="AJ83" s="48">
        <f t="shared" si="59"/>
        <v>361.304347826087</v>
      </c>
      <c r="AK83" s="48">
        <f t="shared" si="59"/>
        <v>364.3478260869565</v>
      </c>
      <c r="AL83" s="48">
        <f t="shared" si="59"/>
        <v>367.39130434782612</v>
      </c>
      <c r="AM83" s="48">
        <f t="shared" si="59"/>
        <v>370.43478260869563</v>
      </c>
      <c r="AN83" s="48">
        <f t="shared" si="59"/>
        <v>373.47826086956525</v>
      </c>
      <c r="AO83" s="48">
        <f t="shared" si="59"/>
        <v>376.52173913043481</v>
      </c>
      <c r="AP83" s="48">
        <f t="shared" si="59"/>
        <v>379.56521739130437</v>
      </c>
      <c r="AQ83" s="48">
        <f t="shared" si="59"/>
        <v>382.60869565217394</v>
      </c>
      <c r="AR83" s="48">
        <f t="shared" si="59"/>
        <v>385.6521739130435</v>
      </c>
    </row>
    <row r="84" spans="2:44">
      <c r="C84" t="s">
        <v>260</v>
      </c>
      <c r="D84" s="48">
        <f t="shared" si="60"/>
        <v>1003.0434782608696</v>
      </c>
      <c r="E84" s="48">
        <f t="shared" si="60"/>
        <v>1016.5217391304348</v>
      </c>
      <c r="F84" s="155">
        <v>1030</v>
      </c>
      <c r="G84" s="48">
        <f t="shared" si="60"/>
        <v>1043.4782608695652</v>
      </c>
      <c r="H84" s="48">
        <f t="shared" si="58"/>
        <v>1056.9565217391305</v>
      </c>
      <c r="I84" s="48">
        <f t="shared" si="58"/>
        <v>1070.4347826086957</v>
      </c>
      <c r="J84" s="48">
        <f t="shared" si="58"/>
        <v>1083.9130434782608</v>
      </c>
      <c r="K84" s="48">
        <f t="shared" si="58"/>
        <v>1097.391304347826</v>
      </c>
      <c r="L84" s="48">
        <f t="shared" si="58"/>
        <v>1110.8695652173913</v>
      </c>
      <c r="M84" s="48">
        <f t="shared" si="58"/>
        <v>1124.3478260869565</v>
      </c>
      <c r="N84" s="48">
        <f t="shared" si="58"/>
        <v>1137.8260869565217</v>
      </c>
      <c r="O84" s="48">
        <f t="shared" si="58"/>
        <v>1151.304347826087</v>
      </c>
      <c r="P84" s="48">
        <f t="shared" si="58"/>
        <v>1164.7826086956522</v>
      </c>
      <c r="Q84" s="48">
        <f t="shared" si="58"/>
        <v>1178.2608695652175</v>
      </c>
      <c r="R84" s="48">
        <f t="shared" si="58"/>
        <v>1191.7391304347825</v>
      </c>
      <c r="S84" s="48">
        <f t="shared" si="58"/>
        <v>1205.2173913043478</v>
      </c>
      <c r="T84" s="48">
        <f t="shared" si="58"/>
        <v>1218.695652173913</v>
      </c>
      <c r="U84" s="48">
        <f t="shared" si="58"/>
        <v>1232.1739130434783</v>
      </c>
      <c r="V84" s="48">
        <f t="shared" si="58"/>
        <v>1245.6521739130435</v>
      </c>
      <c r="W84" s="48">
        <f t="shared" si="58"/>
        <v>1259.1304347826087</v>
      </c>
      <c r="X84" s="48">
        <f t="shared" si="58"/>
        <v>1272.608695652174</v>
      </c>
      <c r="Y84" s="48">
        <f t="shared" si="58"/>
        <v>1286.086956521739</v>
      </c>
      <c r="Z84" s="48">
        <f t="shared" si="58"/>
        <v>1299.5652173913043</v>
      </c>
      <c r="AA84" s="48">
        <f t="shared" si="58"/>
        <v>1313.0434782608695</v>
      </c>
      <c r="AB84" s="48">
        <f t="shared" si="58"/>
        <v>1326.5217391304348</v>
      </c>
      <c r="AC84" s="155">
        <v>1340</v>
      </c>
      <c r="AD84" s="48">
        <f t="shared" si="58"/>
        <v>1353.4782608695652</v>
      </c>
      <c r="AE84" s="48">
        <f t="shared" si="59"/>
        <v>1366.9565217391305</v>
      </c>
      <c r="AF84" s="48">
        <f t="shared" si="59"/>
        <v>1380.4347826086955</v>
      </c>
      <c r="AG84" s="48">
        <f t="shared" si="59"/>
        <v>1393.913043478261</v>
      </c>
      <c r="AH84" s="48">
        <f t="shared" si="59"/>
        <v>1407.391304347826</v>
      </c>
      <c r="AI84" s="48">
        <f t="shared" si="59"/>
        <v>1420.8695652173913</v>
      </c>
      <c r="AJ84" s="48">
        <f t="shared" si="59"/>
        <v>1434.3478260869565</v>
      </c>
      <c r="AK84" s="48">
        <f t="shared" si="59"/>
        <v>1447.8260869565217</v>
      </c>
      <c r="AL84" s="48">
        <f t="shared" si="59"/>
        <v>1461.304347826087</v>
      </c>
      <c r="AM84" s="48">
        <f t="shared" si="59"/>
        <v>1474.782608695652</v>
      </c>
      <c r="AN84" s="48">
        <f t="shared" si="59"/>
        <v>1488.2608695652175</v>
      </c>
      <c r="AO84" s="48">
        <f t="shared" si="59"/>
        <v>1501.7391304347825</v>
      </c>
      <c r="AP84" s="48">
        <f t="shared" si="59"/>
        <v>1515.2173913043478</v>
      </c>
      <c r="AQ84" s="48">
        <f t="shared" si="59"/>
        <v>1528.695652173913</v>
      </c>
      <c r="AR84" s="48">
        <f t="shared" si="59"/>
        <v>1542.1739130434783</v>
      </c>
    </row>
    <row r="85" spans="2:44">
      <c r="C85" t="s">
        <v>261</v>
      </c>
      <c r="D85" s="48">
        <f t="shared" si="60"/>
        <v>985.6521739130435</v>
      </c>
      <c r="E85" s="48">
        <f t="shared" si="60"/>
        <v>1027.8260869565217</v>
      </c>
      <c r="F85" s="155">
        <v>1070</v>
      </c>
      <c r="G85" s="48">
        <f t="shared" si="60"/>
        <v>1112.1739130434783</v>
      </c>
      <c r="H85" s="48">
        <f t="shared" si="58"/>
        <v>1154.3478260869565</v>
      </c>
      <c r="I85" s="48">
        <f t="shared" si="58"/>
        <v>1196.5217391304348</v>
      </c>
      <c r="J85" s="48">
        <f t="shared" si="58"/>
        <v>1238.695652173913</v>
      </c>
      <c r="K85" s="48">
        <f t="shared" si="58"/>
        <v>1280.8695652173913</v>
      </c>
      <c r="L85" s="48">
        <f t="shared" si="58"/>
        <v>1323.0434782608695</v>
      </c>
      <c r="M85" s="48">
        <f t="shared" si="58"/>
        <v>1365.2173913043478</v>
      </c>
      <c r="N85" s="48">
        <f t="shared" si="58"/>
        <v>1407.391304347826</v>
      </c>
      <c r="O85" s="48">
        <f t="shared" si="58"/>
        <v>1449.5652173913043</v>
      </c>
      <c r="P85" s="48">
        <f t="shared" si="58"/>
        <v>1491.7391304347825</v>
      </c>
      <c r="Q85" s="48">
        <f t="shared" si="58"/>
        <v>1533.9130434782608</v>
      </c>
      <c r="R85" s="48">
        <f t="shared" si="58"/>
        <v>1576.086956521739</v>
      </c>
      <c r="S85" s="48">
        <f t="shared" si="58"/>
        <v>1618.2608695652175</v>
      </c>
      <c r="T85" s="48">
        <f t="shared" si="58"/>
        <v>1660.4347826086955</v>
      </c>
      <c r="U85" s="48">
        <f t="shared" si="58"/>
        <v>1702.608695652174</v>
      </c>
      <c r="V85" s="48">
        <f t="shared" si="58"/>
        <v>1744.782608695652</v>
      </c>
      <c r="W85" s="48">
        <f t="shared" si="58"/>
        <v>1786.9565217391305</v>
      </c>
      <c r="X85" s="48">
        <f t="shared" si="58"/>
        <v>1829.1304347826085</v>
      </c>
      <c r="Y85" s="48">
        <f t="shared" si="58"/>
        <v>1871.304347826087</v>
      </c>
      <c r="Z85" s="48">
        <f t="shared" si="58"/>
        <v>1913.478260869565</v>
      </c>
      <c r="AA85" s="48">
        <f t="shared" si="58"/>
        <v>1955.6521739130435</v>
      </c>
      <c r="AB85" s="48">
        <f t="shared" si="58"/>
        <v>1997.8260869565215</v>
      </c>
      <c r="AC85" s="155">
        <v>2040</v>
      </c>
      <c r="AD85" s="48">
        <f t="shared" si="58"/>
        <v>2082.173913043478</v>
      </c>
      <c r="AE85" s="48">
        <f t="shared" si="59"/>
        <v>2124.3478260869565</v>
      </c>
      <c r="AF85" s="48">
        <f t="shared" si="59"/>
        <v>2166.521739130435</v>
      </c>
      <c r="AG85" s="48">
        <f t="shared" si="59"/>
        <v>2208.695652173913</v>
      </c>
      <c r="AH85" s="48">
        <f t="shared" si="59"/>
        <v>2250.869565217391</v>
      </c>
      <c r="AI85" s="48">
        <f t="shared" si="59"/>
        <v>2293.0434782608695</v>
      </c>
      <c r="AJ85" s="48">
        <f t="shared" si="59"/>
        <v>2335.217391304348</v>
      </c>
      <c r="AK85" s="48">
        <f t="shared" si="59"/>
        <v>2377.391304347826</v>
      </c>
      <c r="AL85" s="48">
        <f t="shared" si="59"/>
        <v>2419.565217391304</v>
      </c>
      <c r="AM85" s="48">
        <f t="shared" si="59"/>
        <v>2461.7391304347825</v>
      </c>
      <c r="AN85" s="48">
        <f t="shared" si="59"/>
        <v>2503.913043478261</v>
      </c>
      <c r="AO85" s="48">
        <f t="shared" si="59"/>
        <v>2546.086956521739</v>
      </c>
      <c r="AP85" s="48">
        <f t="shared" si="59"/>
        <v>2588.260869565217</v>
      </c>
      <c r="AQ85" s="48">
        <f t="shared" si="59"/>
        <v>2630.4347826086955</v>
      </c>
      <c r="AR85" s="48">
        <f t="shared" si="59"/>
        <v>2672.608695652174</v>
      </c>
    </row>
    <row r="86" spans="2:44">
      <c r="B86" s="23" t="s">
        <v>70</v>
      </c>
      <c r="C86" s="23"/>
      <c r="D86" s="66"/>
      <c r="E86" s="66"/>
      <c r="F86" s="67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7"/>
      <c r="AD86" s="66"/>
      <c r="AE86" s="66"/>
      <c r="AF86" s="66"/>
      <c r="AG86" s="66"/>
      <c r="AH86" s="66"/>
      <c r="AI86" s="66"/>
      <c r="AJ86" s="66"/>
      <c r="AK86" s="66"/>
      <c r="AL86" s="66"/>
      <c r="AM86" s="66"/>
      <c r="AN86" s="66"/>
      <c r="AO86" s="66"/>
      <c r="AP86" s="66"/>
      <c r="AQ86" s="66"/>
      <c r="AR86" s="66"/>
    </row>
    <row r="87" spans="2:44" s="65" customFormat="1">
      <c r="C87" s="188" t="str">
        <f>C82</f>
        <v>WB Approach - 124th Avenue</v>
      </c>
      <c r="D87" s="65">
        <f>$F87+(($AC87-$F87)/($AC$4-$F$4))*(D$4-$F$4)</f>
        <v>43.217391304347828</v>
      </c>
      <c r="E87" s="65">
        <f>$F87+(($AC87-$F87)/($AC$4-$F$4))*(E$4-$F$4)</f>
        <v>49.608695652173914</v>
      </c>
      <c r="F87" s="156">
        <v>56</v>
      </c>
      <c r="G87" s="65">
        <f>$F87+(($AC87-$F87)/($AC$4-$F$4))*(G$4-$F$4)</f>
        <v>62.391304347826086</v>
      </c>
      <c r="H87" s="65">
        <f t="shared" ref="H87:AE92" si="61">$F87+(($AC87-$F87)/($AC$4-$F$4))*(H$4-$F$4)</f>
        <v>68.782608695652172</v>
      </c>
      <c r="I87" s="65">
        <f t="shared" si="61"/>
        <v>75.173913043478265</v>
      </c>
      <c r="J87" s="65">
        <f t="shared" si="61"/>
        <v>81.565217391304344</v>
      </c>
      <c r="K87" s="65">
        <f t="shared" si="61"/>
        <v>87.956521739130437</v>
      </c>
      <c r="L87" s="65">
        <f t="shared" si="61"/>
        <v>94.34782608695653</v>
      </c>
      <c r="M87" s="65">
        <f t="shared" si="61"/>
        <v>100.73913043478261</v>
      </c>
      <c r="N87" s="65">
        <f t="shared" si="61"/>
        <v>107.13043478260869</v>
      </c>
      <c r="O87" s="65">
        <f t="shared" si="61"/>
        <v>113.52173913043478</v>
      </c>
      <c r="P87" s="65">
        <f t="shared" si="61"/>
        <v>119.91304347826087</v>
      </c>
      <c r="Q87" s="65">
        <f t="shared" si="61"/>
        <v>126.30434782608695</v>
      </c>
      <c r="R87" s="65">
        <f t="shared" si="61"/>
        <v>132.69565217391306</v>
      </c>
      <c r="S87" s="65">
        <f t="shared" si="61"/>
        <v>139.08695652173913</v>
      </c>
      <c r="T87" s="65">
        <f t="shared" si="61"/>
        <v>145.47826086956522</v>
      </c>
      <c r="U87" s="65">
        <f t="shared" si="61"/>
        <v>151.86956521739131</v>
      </c>
      <c r="V87" s="65">
        <f t="shared" si="61"/>
        <v>158.26086956521738</v>
      </c>
      <c r="W87" s="65">
        <f t="shared" si="61"/>
        <v>164.6521739130435</v>
      </c>
      <c r="X87" s="65">
        <f t="shared" si="61"/>
        <v>171.04347826086956</v>
      </c>
      <c r="Y87" s="65">
        <f t="shared" si="61"/>
        <v>177.43478260869566</v>
      </c>
      <c r="Z87" s="65">
        <f t="shared" si="61"/>
        <v>183.82608695652175</v>
      </c>
      <c r="AA87" s="65">
        <f t="shared" si="61"/>
        <v>190.21739130434781</v>
      </c>
      <c r="AB87" s="65">
        <f t="shared" si="61"/>
        <v>196.60869565217391</v>
      </c>
      <c r="AC87" s="156">
        <v>203</v>
      </c>
      <c r="AD87" s="65">
        <f t="shared" si="61"/>
        <v>209.39130434782609</v>
      </c>
      <c r="AE87" s="65">
        <f t="shared" si="61"/>
        <v>215.78260869565219</v>
      </c>
      <c r="AF87" s="65">
        <f t="shared" ref="AE87:AR92" si="62">$F87+(($AC87-$F87)/($AC$4-$F$4))*(AF$4-$F$4)</f>
        <v>222.17391304347825</v>
      </c>
      <c r="AG87" s="65">
        <f t="shared" si="62"/>
        <v>228.56521739130434</v>
      </c>
      <c r="AH87" s="65">
        <f t="shared" si="62"/>
        <v>234.95652173913044</v>
      </c>
      <c r="AI87" s="65">
        <f t="shared" si="62"/>
        <v>241.34782608695653</v>
      </c>
      <c r="AJ87" s="65">
        <f t="shared" si="62"/>
        <v>247.7391304347826</v>
      </c>
      <c r="AK87" s="65">
        <f t="shared" si="62"/>
        <v>254.13043478260869</v>
      </c>
      <c r="AL87" s="65">
        <f t="shared" si="62"/>
        <v>260.52173913043475</v>
      </c>
      <c r="AM87" s="65">
        <f t="shared" si="62"/>
        <v>266.91304347826087</v>
      </c>
      <c r="AN87" s="65">
        <f t="shared" si="62"/>
        <v>273.304347826087</v>
      </c>
      <c r="AO87" s="65">
        <f t="shared" si="62"/>
        <v>279.695652173913</v>
      </c>
      <c r="AP87" s="65">
        <f t="shared" si="62"/>
        <v>286.08695652173913</v>
      </c>
      <c r="AQ87" s="65">
        <f t="shared" si="62"/>
        <v>292.47826086956525</v>
      </c>
      <c r="AR87" s="65">
        <f t="shared" si="62"/>
        <v>298.86956521739131</v>
      </c>
    </row>
    <row r="88" spans="2:44" s="65" customFormat="1">
      <c r="C88" s="188" t="str">
        <f t="shared" ref="C88:C90" si="63">C83</f>
        <v>EB Approach - 124th Avenue</v>
      </c>
      <c r="D88" s="65">
        <f t="shared" ref="D88:S92" si="64">$F88+(($AC88-$F88)/($AC$4-$F$4))*(D$4-$F$4)</f>
        <v>61.608695652173914</v>
      </c>
      <c r="E88" s="65">
        <f t="shared" si="64"/>
        <v>66.304347826086953</v>
      </c>
      <c r="F88" s="156">
        <v>71</v>
      </c>
      <c r="G88" s="65">
        <f t="shared" si="64"/>
        <v>75.695652173913047</v>
      </c>
      <c r="H88" s="65">
        <f t="shared" si="64"/>
        <v>80.391304347826093</v>
      </c>
      <c r="I88" s="65">
        <f t="shared" si="64"/>
        <v>85.086956521739125</v>
      </c>
      <c r="J88" s="65">
        <f t="shared" si="64"/>
        <v>89.782608695652172</v>
      </c>
      <c r="K88" s="65">
        <f t="shared" si="64"/>
        <v>94.478260869565219</v>
      </c>
      <c r="L88" s="65">
        <f t="shared" si="64"/>
        <v>99.173913043478265</v>
      </c>
      <c r="M88" s="65">
        <f t="shared" si="64"/>
        <v>103.86956521739131</v>
      </c>
      <c r="N88" s="65">
        <f t="shared" si="64"/>
        <v>108.56521739130434</v>
      </c>
      <c r="O88" s="65">
        <f t="shared" si="64"/>
        <v>113.2608695652174</v>
      </c>
      <c r="P88" s="65">
        <f t="shared" si="64"/>
        <v>117.95652173913044</v>
      </c>
      <c r="Q88" s="65">
        <f t="shared" si="64"/>
        <v>122.65217391304348</v>
      </c>
      <c r="R88" s="65">
        <f t="shared" si="64"/>
        <v>127.34782608695653</v>
      </c>
      <c r="S88" s="65">
        <f t="shared" si="64"/>
        <v>132.04347826086956</v>
      </c>
      <c r="T88" s="65">
        <f t="shared" si="61"/>
        <v>136.73913043478262</v>
      </c>
      <c r="U88" s="65">
        <f t="shared" si="61"/>
        <v>141.43478260869566</v>
      </c>
      <c r="V88" s="65">
        <f t="shared" si="61"/>
        <v>146.13043478260869</v>
      </c>
      <c r="W88" s="65">
        <f t="shared" si="61"/>
        <v>150.82608695652175</v>
      </c>
      <c r="X88" s="65">
        <f t="shared" si="61"/>
        <v>155.52173913043481</v>
      </c>
      <c r="Y88" s="65">
        <f t="shared" si="61"/>
        <v>160.21739130434781</v>
      </c>
      <c r="Z88" s="65">
        <f t="shared" si="61"/>
        <v>164.91304347826087</v>
      </c>
      <c r="AA88" s="65">
        <f t="shared" si="61"/>
        <v>169.60869565217394</v>
      </c>
      <c r="AB88" s="65">
        <f t="shared" si="61"/>
        <v>174.30434782608697</v>
      </c>
      <c r="AC88" s="156">
        <v>179</v>
      </c>
      <c r="AD88" s="65">
        <f t="shared" si="61"/>
        <v>183.69565217391306</v>
      </c>
      <c r="AE88" s="65">
        <f t="shared" si="62"/>
        <v>188.39130434782609</v>
      </c>
      <c r="AF88" s="65">
        <f t="shared" si="62"/>
        <v>193.08695652173913</v>
      </c>
      <c r="AG88" s="65">
        <f t="shared" si="62"/>
        <v>197.78260869565219</v>
      </c>
      <c r="AH88" s="65">
        <f t="shared" si="62"/>
        <v>202.47826086956522</v>
      </c>
      <c r="AI88" s="65">
        <f t="shared" si="62"/>
        <v>207.17391304347828</v>
      </c>
      <c r="AJ88" s="65">
        <f t="shared" si="62"/>
        <v>211.86956521739131</v>
      </c>
      <c r="AK88" s="65">
        <f t="shared" si="62"/>
        <v>216.56521739130437</v>
      </c>
      <c r="AL88" s="65">
        <f t="shared" si="62"/>
        <v>221.2608695652174</v>
      </c>
      <c r="AM88" s="65">
        <f t="shared" si="62"/>
        <v>225.95652173913044</v>
      </c>
      <c r="AN88" s="65">
        <f t="shared" si="62"/>
        <v>230.6521739130435</v>
      </c>
      <c r="AO88" s="65">
        <f t="shared" si="62"/>
        <v>235.34782608695653</v>
      </c>
      <c r="AP88" s="65">
        <f t="shared" si="62"/>
        <v>240.04347826086959</v>
      </c>
      <c r="AQ88" s="65">
        <f t="shared" si="62"/>
        <v>244.73913043478262</v>
      </c>
      <c r="AR88" s="65">
        <f t="shared" si="62"/>
        <v>249.43478260869566</v>
      </c>
    </row>
    <row r="89" spans="2:44" s="65" customFormat="1">
      <c r="C89" s="188" t="str">
        <f t="shared" si="63"/>
        <v>NB Approach - US 85</v>
      </c>
      <c r="D89" s="65">
        <f t="shared" si="64"/>
        <v>10.782608695652174</v>
      </c>
      <c r="E89" s="65">
        <f t="shared" si="64"/>
        <v>11.391304347826086</v>
      </c>
      <c r="F89" s="156">
        <v>12</v>
      </c>
      <c r="G89" s="65">
        <f t="shared" si="64"/>
        <v>12.608695652173914</v>
      </c>
      <c r="H89" s="65">
        <f t="shared" si="61"/>
        <v>13.217391304347826</v>
      </c>
      <c r="I89" s="65">
        <f t="shared" si="61"/>
        <v>13.826086956521738</v>
      </c>
      <c r="J89" s="65">
        <f t="shared" si="61"/>
        <v>14.434782608695652</v>
      </c>
      <c r="K89" s="65">
        <f t="shared" si="61"/>
        <v>15.043478260869566</v>
      </c>
      <c r="L89" s="65">
        <f t="shared" si="61"/>
        <v>15.652173913043478</v>
      </c>
      <c r="M89" s="65">
        <f t="shared" si="61"/>
        <v>16.260869565217391</v>
      </c>
      <c r="N89" s="65">
        <f t="shared" si="61"/>
        <v>16.869565217391305</v>
      </c>
      <c r="O89" s="65">
        <f t="shared" si="61"/>
        <v>17.478260869565219</v>
      </c>
      <c r="P89" s="65">
        <f t="shared" si="61"/>
        <v>18.086956521739133</v>
      </c>
      <c r="Q89" s="65">
        <f t="shared" si="61"/>
        <v>18.695652173913043</v>
      </c>
      <c r="R89" s="65">
        <f t="shared" si="61"/>
        <v>19.304347826086957</v>
      </c>
      <c r="S89" s="65">
        <f t="shared" si="61"/>
        <v>19.913043478260871</v>
      </c>
      <c r="T89" s="65">
        <f t="shared" si="61"/>
        <v>20.521739130434781</v>
      </c>
      <c r="U89" s="65">
        <f t="shared" si="61"/>
        <v>21.130434782608695</v>
      </c>
      <c r="V89" s="65">
        <f t="shared" si="61"/>
        <v>21.739130434782609</v>
      </c>
      <c r="W89" s="65">
        <f t="shared" si="61"/>
        <v>22.347826086956523</v>
      </c>
      <c r="X89" s="65">
        <f t="shared" si="61"/>
        <v>22.956521739130437</v>
      </c>
      <c r="Y89" s="65">
        <f t="shared" si="61"/>
        <v>23.565217391304348</v>
      </c>
      <c r="Z89" s="65">
        <f t="shared" si="61"/>
        <v>24.173913043478262</v>
      </c>
      <c r="AA89" s="65">
        <f t="shared" si="61"/>
        <v>24.782608695652176</v>
      </c>
      <c r="AB89" s="65">
        <f t="shared" si="61"/>
        <v>25.391304347826086</v>
      </c>
      <c r="AC89" s="156">
        <v>26</v>
      </c>
      <c r="AD89" s="65">
        <f t="shared" si="61"/>
        <v>26.608695652173914</v>
      </c>
      <c r="AE89" s="65">
        <f t="shared" si="62"/>
        <v>27.217391304347828</v>
      </c>
      <c r="AF89" s="65">
        <f t="shared" si="62"/>
        <v>27.826086956521742</v>
      </c>
      <c r="AG89" s="65">
        <f t="shared" si="62"/>
        <v>28.434782608695652</v>
      </c>
      <c r="AH89" s="65">
        <f t="shared" si="62"/>
        <v>29.043478260869566</v>
      </c>
      <c r="AI89" s="65">
        <f t="shared" si="62"/>
        <v>29.65217391304348</v>
      </c>
      <c r="AJ89" s="65">
        <f t="shared" si="62"/>
        <v>30.260869565217391</v>
      </c>
      <c r="AK89" s="65">
        <f t="shared" si="62"/>
        <v>30.869565217391305</v>
      </c>
      <c r="AL89" s="65">
        <f t="shared" si="62"/>
        <v>31.478260869565219</v>
      </c>
      <c r="AM89" s="65">
        <f t="shared" si="62"/>
        <v>32.086956521739133</v>
      </c>
      <c r="AN89" s="65">
        <f t="shared" si="62"/>
        <v>32.695652173913047</v>
      </c>
      <c r="AO89" s="65">
        <f t="shared" si="62"/>
        <v>33.304347826086953</v>
      </c>
      <c r="AP89" s="65">
        <f t="shared" si="62"/>
        <v>33.913043478260875</v>
      </c>
      <c r="AQ89" s="65">
        <f t="shared" si="62"/>
        <v>34.521739130434781</v>
      </c>
      <c r="AR89" s="65">
        <f t="shared" si="62"/>
        <v>35.130434782608695</v>
      </c>
    </row>
    <row r="90" spans="2:44" s="65" customFormat="1">
      <c r="C90" s="188" t="str">
        <f t="shared" si="63"/>
        <v>SB Approach - US 85</v>
      </c>
      <c r="D90" s="65">
        <f t="shared" si="64"/>
        <v>8.9130434782608692</v>
      </c>
      <c r="E90" s="65">
        <f t="shared" si="64"/>
        <v>10.956521739130434</v>
      </c>
      <c r="F90" s="156">
        <v>13</v>
      </c>
      <c r="G90" s="65">
        <f t="shared" si="64"/>
        <v>15.043478260869566</v>
      </c>
      <c r="H90" s="65">
        <f t="shared" si="61"/>
        <v>17.086956521739133</v>
      </c>
      <c r="I90" s="65">
        <f t="shared" si="61"/>
        <v>19.130434782608695</v>
      </c>
      <c r="J90" s="65">
        <f t="shared" si="61"/>
        <v>21.173913043478262</v>
      </c>
      <c r="K90" s="65">
        <f t="shared" si="61"/>
        <v>23.217391304347828</v>
      </c>
      <c r="L90" s="65">
        <f t="shared" si="61"/>
        <v>25.260869565217391</v>
      </c>
      <c r="M90" s="65">
        <f t="shared" si="61"/>
        <v>27.304347826086957</v>
      </c>
      <c r="N90" s="65">
        <f t="shared" si="61"/>
        <v>29.347826086956523</v>
      </c>
      <c r="O90" s="65">
        <f t="shared" si="61"/>
        <v>31.39130434782609</v>
      </c>
      <c r="P90" s="65">
        <f t="shared" si="61"/>
        <v>33.434782608695656</v>
      </c>
      <c r="Q90" s="65">
        <f t="shared" si="61"/>
        <v>35.478260869565219</v>
      </c>
      <c r="R90" s="65">
        <f t="shared" si="61"/>
        <v>37.521739130434781</v>
      </c>
      <c r="S90" s="65">
        <f t="shared" si="61"/>
        <v>39.565217391304351</v>
      </c>
      <c r="T90" s="65">
        <f t="shared" si="61"/>
        <v>41.608695652173914</v>
      </c>
      <c r="U90" s="65">
        <f t="shared" si="61"/>
        <v>43.652173913043484</v>
      </c>
      <c r="V90" s="65">
        <f t="shared" si="61"/>
        <v>45.695652173913047</v>
      </c>
      <c r="W90" s="65">
        <f t="shared" si="61"/>
        <v>47.739130434782609</v>
      </c>
      <c r="X90" s="65">
        <f t="shared" si="61"/>
        <v>49.782608695652179</v>
      </c>
      <c r="Y90" s="65">
        <f t="shared" si="61"/>
        <v>51.826086956521742</v>
      </c>
      <c r="Z90" s="65">
        <f t="shared" si="61"/>
        <v>53.869565217391312</v>
      </c>
      <c r="AA90" s="65">
        <f t="shared" si="61"/>
        <v>55.913043478260875</v>
      </c>
      <c r="AB90" s="65">
        <f t="shared" si="61"/>
        <v>57.956521739130437</v>
      </c>
      <c r="AC90" s="156">
        <v>60</v>
      </c>
      <c r="AD90" s="65">
        <f t="shared" si="61"/>
        <v>62.04347826086957</v>
      </c>
      <c r="AE90" s="65">
        <f t="shared" si="62"/>
        <v>64.086956521739125</v>
      </c>
      <c r="AF90" s="65">
        <f t="shared" si="62"/>
        <v>66.130434782608702</v>
      </c>
      <c r="AG90" s="65">
        <f t="shared" si="62"/>
        <v>68.173913043478265</v>
      </c>
      <c r="AH90" s="65">
        <f t="shared" si="62"/>
        <v>70.217391304347828</v>
      </c>
      <c r="AI90" s="65">
        <f t="shared" si="62"/>
        <v>72.260869565217405</v>
      </c>
      <c r="AJ90" s="65">
        <f t="shared" si="62"/>
        <v>74.304347826086968</v>
      </c>
      <c r="AK90" s="65">
        <f t="shared" si="62"/>
        <v>76.34782608695653</v>
      </c>
      <c r="AL90" s="65">
        <f t="shared" si="62"/>
        <v>78.391304347826093</v>
      </c>
      <c r="AM90" s="65">
        <f t="shared" si="62"/>
        <v>80.434782608695656</v>
      </c>
      <c r="AN90" s="65">
        <f t="shared" si="62"/>
        <v>82.478260869565219</v>
      </c>
      <c r="AO90" s="65">
        <f t="shared" si="62"/>
        <v>84.521739130434796</v>
      </c>
      <c r="AP90" s="65">
        <f t="shared" si="62"/>
        <v>86.565217391304358</v>
      </c>
      <c r="AQ90" s="65">
        <f t="shared" si="62"/>
        <v>88.608695652173921</v>
      </c>
      <c r="AR90" s="65">
        <f t="shared" si="62"/>
        <v>90.652173913043484</v>
      </c>
    </row>
    <row r="91" spans="2:44"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</row>
    <row r="92" spans="2:44" s="65" customFormat="1">
      <c r="C92" s="186" t="str">
        <f>"BASELINE (No "&amp;'BCA Summary'!$E$1&amp;" Grant) AM Peak Hour Total Vehicular Delay, hrs"</f>
        <v>BASELINE (No BUILD Grant Grant) AM Peak Hour Total Vehicular Delay, hrs</v>
      </c>
      <c r="D92" s="65">
        <f t="shared" si="64"/>
        <v>8.0442028985507239</v>
      </c>
      <c r="E92" s="65">
        <f t="shared" si="64"/>
        <v>10.79987922705314</v>
      </c>
      <c r="F92" s="156">
        <f>((F82*F87)+(F83*F88)+(F84*F89)+(F85*F90))/3600</f>
        <v>13.555555555555555</v>
      </c>
      <c r="G92" s="65">
        <f t="shared" si="64"/>
        <v>16.311231884057971</v>
      </c>
      <c r="H92" s="65">
        <f t="shared" si="61"/>
        <v>19.066908212560385</v>
      </c>
      <c r="I92" s="65">
        <f t="shared" si="61"/>
        <v>21.822584541062803</v>
      </c>
      <c r="J92" s="65">
        <f t="shared" si="61"/>
        <v>24.57826086956522</v>
      </c>
      <c r="K92" s="65">
        <f t="shared" si="61"/>
        <v>27.333937198067634</v>
      </c>
      <c r="L92" s="65">
        <f t="shared" si="61"/>
        <v>30.089613526570048</v>
      </c>
      <c r="M92" s="65">
        <f t="shared" si="61"/>
        <v>32.845289855072465</v>
      </c>
      <c r="N92" s="65">
        <f t="shared" si="61"/>
        <v>35.600966183574883</v>
      </c>
      <c r="O92" s="65">
        <f t="shared" si="61"/>
        <v>38.3566425120773</v>
      </c>
      <c r="P92" s="65">
        <f t="shared" si="61"/>
        <v>41.112318840579711</v>
      </c>
      <c r="Q92" s="65">
        <f t="shared" si="61"/>
        <v>43.867995169082128</v>
      </c>
      <c r="R92" s="65">
        <f t="shared" si="61"/>
        <v>46.623671497584546</v>
      </c>
      <c r="S92" s="65">
        <f t="shared" si="61"/>
        <v>49.379347826086963</v>
      </c>
      <c r="T92" s="65">
        <f t="shared" si="61"/>
        <v>52.135024154589374</v>
      </c>
      <c r="U92" s="65">
        <f t="shared" si="61"/>
        <v>54.890700483091791</v>
      </c>
      <c r="V92" s="65">
        <f t="shared" si="61"/>
        <v>57.646376811594209</v>
      </c>
      <c r="W92" s="65">
        <f t="shared" si="61"/>
        <v>60.402053140096626</v>
      </c>
      <c r="X92" s="65">
        <f t="shared" si="61"/>
        <v>63.157729468599044</v>
      </c>
      <c r="Y92" s="65">
        <f t="shared" si="61"/>
        <v>65.913405797101447</v>
      </c>
      <c r="Z92" s="65">
        <f t="shared" si="61"/>
        <v>68.669082125603865</v>
      </c>
      <c r="AA92" s="65">
        <f t="shared" si="61"/>
        <v>71.424758454106282</v>
      </c>
      <c r="AB92" s="65">
        <f t="shared" si="61"/>
        <v>74.1804347826087</v>
      </c>
      <c r="AC92" s="156">
        <f>((AC82*AC87)+(AC83*AC88)+(AC84*AC89)+(AC85*AC90))/3600</f>
        <v>76.936111111111117</v>
      </c>
      <c r="AD92" s="65">
        <f t="shared" si="61"/>
        <v>79.691787439613535</v>
      </c>
      <c r="AE92" s="65">
        <f t="shared" si="62"/>
        <v>82.447463768115952</v>
      </c>
      <c r="AF92" s="65">
        <f t="shared" si="62"/>
        <v>85.20314009661837</v>
      </c>
      <c r="AG92" s="65">
        <f t="shared" si="62"/>
        <v>87.958816425120787</v>
      </c>
      <c r="AH92" s="65">
        <f t="shared" si="62"/>
        <v>90.71449275362319</v>
      </c>
      <c r="AI92" s="65">
        <f t="shared" si="62"/>
        <v>93.470169082125608</v>
      </c>
      <c r="AJ92" s="65">
        <f t="shared" si="62"/>
        <v>96.225845410628025</v>
      </c>
      <c r="AK92" s="65">
        <f t="shared" si="62"/>
        <v>98.981521739130443</v>
      </c>
      <c r="AL92" s="65">
        <f t="shared" si="62"/>
        <v>101.73719806763286</v>
      </c>
      <c r="AM92" s="65">
        <f t="shared" si="62"/>
        <v>104.49287439613528</v>
      </c>
      <c r="AN92" s="65">
        <f t="shared" si="62"/>
        <v>107.2485507246377</v>
      </c>
      <c r="AO92" s="65">
        <f t="shared" si="62"/>
        <v>110.00422705314011</v>
      </c>
      <c r="AP92" s="65">
        <f t="shared" si="62"/>
        <v>112.75990338164253</v>
      </c>
      <c r="AQ92" s="65">
        <f t="shared" si="62"/>
        <v>115.51557971014493</v>
      </c>
      <c r="AR92" s="65">
        <f t="shared" si="62"/>
        <v>118.27125603864735</v>
      </c>
    </row>
    <row r="94" spans="2:44" s="23" customFormat="1">
      <c r="B94" s="23" t="s">
        <v>277</v>
      </c>
      <c r="D94" s="48">
        <f t="shared" ref="D94:E95" si="65">$F94+(($AC94-$F94)/($AC$4-$F$4))*(D$4-$F$4)</f>
        <v>0</v>
      </c>
      <c r="E94" s="48">
        <f t="shared" si="65"/>
        <v>0</v>
      </c>
      <c r="F94" s="91">
        <v>0</v>
      </c>
      <c r="G94" s="48">
        <f t="shared" ref="G94:AA95" si="66">$F94+(($AC94-$F94)/($AC$4-$F$4))*(G$4-$F$4)</f>
        <v>0</v>
      </c>
      <c r="H94" s="48">
        <f t="shared" si="66"/>
        <v>0</v>
      </c>
      <c r="I94" s="48">
        <f t="shared" si="66"/>
        <v>0</v>
      </c>
      <c r="J94" s="48">
        <f t="shared" si="66"/>
        <v>0</v>
      </c>
      <c r="K94" s="48">
        <f t="shared" si="66"/>
        <v>0</v>
      </c>
      <c r="L94" s="48">
        <f t="shared" si="66"/>
        <v>0</v>
      </c>
      <c r="M94" s="48">
        <f t="shared" si="66"/>
        <v>0</v>
      </c>
      <c r="N94" s="48">
        <f t="shared" si="66"/>
        <v>0</v>
      </c>
      <c r="O94" s="48">
        <f t="shared" si="66"/>
        <v>0</v>
      </c>
      <c r="P94" s="48">
        <f t="shared" si="66"/>
        <v>0</v>
      </c>
      <c r="Q94" s="48">
        <f t="shared" si="66"/>
        <v>0</v>
      </c>
      <c r="R94" s="48">
        <f t="shared" si="66"/>
        <v>0</v>
      </c>
      <c r="S94" s="48">
        <f t="shared" si="66"/>
        <v>0</v>
      </c>
      <c r="T94" s="48">
        <f t="shared" si="66"/>
        <v>0</v>
      </c>
      <c r="U94" s="48">
        <f t="shared" si="66"/>
        <v>0</v>
      </c>
      <c r="V94" s="48">
        <f t="shared" si="66"/>
        <v>0</v>
      </c>
      <c r="W94" s="48">
        <f t="shared" si="66"/>
        <v>0</v>
      </c>
      <c r="X94" s="48">
        <f t="shared" si="66"/>
        <v>0</v>
      </c>
      <c r="Y94" s="48">
        <f t="shared" si="66"/>
        <v>0</v>
      </c>
      <c r="Z94" s="48">
        <f t="shared" si="66"/>
        <v>0</v>
      </c>
      <c r="AA94" s="48">
        <f t="shared" si="66"/>
        <v>0</v>
      </c>
      <c r="AB94" s="48">
        <f>$F94+(($AC94-$F94)/($AC$4-$F$4))*(AB$4-$F$4)</f>
        <v>0</v>
      </c>
      <c r="AC94" s="91">
        <v>0</v>
      </c>
      <c r="AD94" s="48">
        <f>$F94+(($AC94-$F94)/($AC$4-$F$4))*(AD$4-$F$4)</f>
        <v>0</v>
      </c>
      <c r="AE94" s="48">
        <f t="shared" ref="AE94:AE95" si="67">$F94+(($AC94-$F94)/($AC$4-$F$4))*(AE$4-$F$4)</f>
        <v>0</v>
      </c>
      <c r="AF94" s="48">
        <f>$F94+(($AC94-$F94)/($AC$4-$F$4))*(AF$4-$F$4)</f>
        <v>0</v>
      </c>
      <c r="AG94" s="48">
        <f t="shared" ref="AG94:AR95" si="68">$F94+(($AC94-$F94)/($AC$4-$F$4))*(AG$4-$F$4)</f>
        <v>0</v>
      </c>
      <c r="AH94" s="48">
        <f t="shared" si="68"/>
        <v>0</v>
      </c>
      <c r="AI94" s="48">
        <f t="shared" si="68"/>
        <v>0</v>
      </c>
      <c r="AJ94" s="48">
        <f t="shared" si="68"/>
        <v>0</v>
      </c>
      <c r="AK94" s="48">
        <f t="shared" si="68"/>
        <v>0</v>
      </c>
      <c r="AL94" s="48">
        <f t="shared" si="68"/>
        <v>0</v>
      </c>
      <c r="AM94" s="48">
        <f t="shared" si="68"/>
        <v>0</v>
      </c>
      <c r="AN94" s="48">
        <f t="shared" si="68"/>
        <v>0</v>
      </c>
      <c r="AO94" s="48">
        <f t="shared" si="68"/>
        <v>0</v>
      </c>
      <c r="AP94" s="48">
        <f t="shared" si="68"/>
        <v>0</v>
      </c>
      <c r="AQ94" s="68"/>
      <c r="AR94" s="48">
        <f t="shared" si="68"/>
        <v>0</v>
      </c>
    </row>
    <row r="95" spans="2:44">
      <c r="B95" s="23" t="s">
        <v>278</v>
      </c>
      <c r="C95" s="23"/>
      <c r="D95" s="48">
        <f t="shared" si="65"/>
        <v>0</v>
      </c>
      <c r="E95" s="48">
        <f t="shared" si="65"/>
        <v>0</v>
      </c>
      <c r="F95" s="91">
        <v>0</v>
      </c>
      <c r="G95" s="48">
        <f t="shared" si="66"/>
        <v>0</v>
      </c>
      <c r="H95" s="48">
        <f t="shared" si="66"/>
        <v>0</v>
      </c>
      <c r="I95" s="48">
        <f t="shared" si="66"/>
        <v>0</v>
      </c>
      <c r="J95" s="48">
        <f t="shared" si="66"/>
        <v>0</v>
      </c>
      <c r="K95" s="48">
        <f t="shared" si="66"/>
        <v>0</v>
      </c>
      <c r="L95" s="48">
        <f t="shared" si="66"/>
        <v>0</v>
      </c>
      <c r="M95" s="48">
        <f t="shared" si="66"/>
        <v>0</v>
      </c>
      <c r="N95" s="48">
        <f t="shared" si="66"/>
        <v>0</v>
      </c>
      <c r="O95" s="48">
        <f t="shared" si="66"/>
        <v>0</v>
      </c>
      <c r="P95" s="48">
        <f t="shared" si="66"/>
        <v>0</v>
      </c>
      <c r="Q95" s="48">
        <f t="shared" si="66"/>
        <v>0</v>
      </c>
      <c r="R95" s="48">
        <f t="shared" si="66"/>
        <v>0</v>
      </c>
      <c r="S95" s="48">
        <f t="shared" si="66"/>
        <v>0</v>
      </c>
      <c r="T95" s="48">
        <f t="shared" si="66"/>
        <v>0</v>
      </c>
      <c r="U95" s="48">
        <f t="shared" si="66"/>
        <v>0</v>
      </c>
      <c r="V95" s="48">
        <f t="shared" si="66"/>
        <v>0</v>
      </c>
      <c r="W95" s="48">
        <f t="shared" si="66"/>
        <v>0</v>
      </c>
      <c r="X95" s="48">
        <f t="shared" si="66"/>
        <v>0</v>
      </c>
      <c r="Y95" s="48">
        <f t="shared" si="66"/>
        <v>0</v>
      </c>
      <c r="Z95" s="48">
        <f t="shared" si="66"/>
        <v>0</v>
      </c>
      <c r="AA95" s="48">
        <f t="shared" si="66"/>
        <v>0</v>
      </c>
      <c r="AB95" s="48">
        <f>$F95+(($AC95-$F95)/($AC$4-$F$4))*(AB$4-$F$4)</f>
        <v>0</v>
      </c>
      <c r="AC95" s="91">
        <v>0</v>
      </c>
      <c r="AD95" s="48">
        <f>$F95+(($AC95-$F95)/($AC$4-$F$4))*(AD$4-$F$4)</f>
        <v>0</v>
      </c>
      <c r="AE95" s="48">
        <f t="shared" si="67"/>
        <v>0</v>
      </c>
      <c r="AF95" s="48">
        <f>$F95+(($AC95-$F95)/($AC$4-$F$4))*(AF$4-$F$4)</f>
        <v>0</v>
      </c>
      <c r="AG95" s="48">
        <f t="shared" si="68"/>
        <v>0</v>
      </c>
      <c r="AH95" s="48">
        <f t="shared" si="68"/>
        <v>0</v>
      </c>
      <c r="AI95" s="48">
        <f t="shared" si="68"/>
        <v>0</v>
      </c>
      <c r="AJ95" s="48">
        <f t="shared" si="68"/>
        <v>0</v>
      </c>
      <c r="AK95" s="48">
        <f t="shared" si="68"/>
        <v>0</v>
      </c>
      <c r="AL95" s="48">
        <f t="shared" si="68"/>
        <v>0</v>
      </c>
      <c r="AM95" s="48">
        <f t="shared" si="68"/>
        <v>0</v>
      </c>
      <c r="AN95" s="48">
        <f t="shared" si="68"/>
        <v>0</v>
      </c>
      <c r="AO95" s="48">
        <f t="shared" si="68"/>
        <v>0</v>
      </c>
      <c r="AP95" s="48">
        <f t="shared" si="68"/>
        <v>0</v>
      </c>
      <c r="AQ95" s="66"/>
      <c r="AR95" s="48">
        <f t="shared" si="68"/>
        <v>0</v>
      </c>
    </row>
    <row r="96" spans="2:44">
      <c r="AQ96" s="22"/>
    </row>
    <row r="97" spans="2:44">
      <c r="C97" s="92" t="str">
        <f>"PREFERRED (With "&amp;'BCA Summary'!$E$1&amp;" Grant) AM Peak Hour Total Vehicular Delay, hrs"</f>
        <v>PREFERRED (With BUILD Grant Grant) AM Peak Hour Total Vehicular Delay, hrs</v>
      </c>
      <c r="D97" s="65">
        <f>D94*D95/3600</f>
        <v>0</v>
      </c>
      <c r="E97" s="65">
        <f t="shared" ref="E97:AP97" si="69">E94*E95/3600</f>
        <v>0</v>
      </c>
      <c r="F97" s="190">
        <f t="shared" si="69"/>
        <v>0</v>
      </c>
      <c r="G97" s="65">
        <f t="shared" si="69"/>
        <v>0</v>
      </c>
      <c r="H97" s="65">
        <f t="shared" si="69"/>
        <v>0</v>
      </c>
      <c r="I97" s="65">
        <f t="shared" si="69"/>
        <v>0</v>
      </c>
      <c r="J97" s="65">
        <f t="shared" si="69"/>
        <v>0</v>
      </c>
      <c r="K97" s="65">
        <f t="shared" si="69"/>
        <v>0</v>
      </c>
      <c r="L97" s="65">
        <f t="shared" si="69"/>
        <v>0</v>
      </c>
      <c r="M97" s="65">
        <f t="shared" si="69"/>
        <v>0</v>
      </c>
      <c r="N97" s="65">
        <f t="shared" si="69"/>
        <v>0</v>
      </c>
      <c r="O97" s="65">
        <f t="shared" si="69"/>
        <v>0</v>
      </c>
      <c r="P97" s="65">
        <f t="shared" si="69"/>
        <v>0</v>
      </c>
      <c r="Q97" s="65">
        <f t="shared" si="69"/>
        <v>0</v>
      </c>
      <c r="R97" s="65">
        <f t="shared" si="69"/>
        <v>0</v>
      </c>
      <c r="S97" s="65">
        <f t="shared" si="69"/>
        <v>0</v>
      </c>
      <c r="T97" s="65">
        <f t="shared" si="69"/>
        <v>0</v>
      </c>
      <c r="U97" s="65">
        <f t="shared" si="69"/>
        <v>0</v>
      </c>
      <c r="V97" s="65">
        <f t="shared" si="69"/>
        <v>0</v>
      </c>
      <c r="W97" s="65">
        <f t="shared" si="69"/>
        <v>0</v>
      </c>
      <c r="X97" s="65">
        <f t="shared" si="69"/>
        <v>0</v>
      </c>
      <c r="Y97" s="65">
        <f t="shared" si="69"/>
        <v>0</v>
      </c>
      <c r="Z97" s="65">
        <f t="shared" si="69"/>
        <v>0</v>
      </c>
      <c r="AA97" s="65">
        <f t="shared" si="69"/>
        <v>0</v>
      </c>
      <c r="AB97" s="65">
        <f t="shared" si="69"/>
        <v>0</v>
      </c>
      <c r="AC97" s="190">
        <f t="shared" si="69"/>
        <v>0</v>
      </c>
      <c r="AD97" s="65">
        <f t="shared" si="69"/>
        <v>0</v>
      </c>
      <c r="AE97" s="65">
        <f t="shared" si="69"/>
        <v>0</v>
      </c>
      <c r="AF97" s="65">
        <f t="shared" si="69"/>
        <v>0</v>
      </c>
      <c r="AG97" s="65">
        <f t="shared" si="69"/>
        <v>0</v>
      </c>
      <c r="AH97" s="65">
        <f t="shared" si="69"/>
        <v>0</v>
      </c>
      <c r="AI97" s="65">
        <f t="shared" si="69"/>
        <v>0</v>
      </c>
      <c r="AJ97" s="65">
        <f t="shared" si="69"/>
        <v>0</v>
      </c>
      <c r="AK97" s="65">
        <f t="shared" si="69"/>
        <v>0</v>
      </c>
      <c r="AL97" s="65">
        <f t="shared" si="69"/>
        <v>0</v>
      </c>
      <c r="AM97" s="65">
        <f t="shared" si="69"/>
        <v>0</v>
      </c>
      <c r="AN97" s="65">
        <f t="shared" si="69"/>
        <v>0</v>
      </c>
      <c r="AO97" s="65">
        <f t="shared" si="69"/>
        <v>0</v>
      </c>
      <c r="AP97" s="65">
        <f t="shared" si="69"/>
        <v>0</v>
      </c>
      <c r="AQ97" s="48">
        <f t="shared" ref="AQ97" si="70">$F97+(($AC97-$F97)/($AC$4-$F$4))*(AQ$4-$F$4)</f>
        <v>0</v>
      </c>
      <c r="AR97" s="65">
        <f t="shared" ref="AR97" si="71">AR94*AR95/3600</f>
        <v>0</v>
      </c>
    </row>
    <row r="99" spans="2:44" s="23" customFormat="1">
      <c r="B99" s="23" t="s">
        <v>71</v>
      </c>
      <c r="D99" s="68"/>
      <c r="E99" s="68"/>
      <c r="F99" s="69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9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</row>
    <row r="100" spans="2:44">
      <c r="C100" t="s">
        <v>275</v>
      </c>
      <c r="D100" s="48">
        <f>$F100+(($AC100-$F100)/($AC$4-$F$4))*(D$4-$F$4)</f>
        <v>318.26086956521738</v>
      </c>
      <c r="E100" s="48">
        <f>$F100+(($AC100-$F100)/($AC$4-$F$4))*(E$4-$F$4)</f>
        <v>319.13043478260869</v>
      </c>
      <c r="F100" s="155">
        <v>320</v>
      </c>
      <c r="G100" s="48">
        <f>$F100+(($AC100-$F100)/($AC$4-$F$4))*(G$4-$F$4)</f>
        <v>320.86956521739131</v>
      </c>
      <c r="H100" s="48">
        <f t="shared" ref="H100:AE103" si="72">$F100+(($AC100-$F100)/($AC$4-$F$4))*(H$4-$F$4)</f>
        <v>321.73913043478262</v>
      </c>
      <c r="I100" s="48">
        <f t="shared" si="72"/>
        <v>322.60869565217394</v>
      </c>
      <c r="J100" s="48">
        <f t="shared" si="72"/>
        <v>323.47826086956519</v>
      </c>
      <c r="K100" s="48">
        <f t="shared" si="72"/>
        <v>324.3478260869565</v>
      </c>
      <c r="L100" s="48">
        <f t="shared" si="72"/>
        <v>325.21739130434781</v>
      </c>
      <c r="M100" s="48">
        <f t="shared" si="72"/>
        <v>326.08695652173913</v>
      </c>
      <c r="N100" s="48">
        <f t="shared" si="72"/>
        <v>326.95652173913044</v>
      </c>
      <c r="O100" s="48">
        <f t="shared" si="72"/>
        <v>327.82608695652175</v>
      </c>
      <c r="P100" s="48">
        <f t="shared" si="72"/>
        <v>328.69565217391306</v>
      </c>
      <c r="Q100" s="48">
        <f t="shared" si="72"/>
        <v>329.56521739130437</v>
      </c>
      <c r="R100" s="48">
        <f t="shared" si="72"/>
        <v>330.43478260869563</v>
      </c>
      <c r="S100" s="48">
        <f t="shared" si="72"/>
        <v>331.30434782608694</v>
      </c>
      <c r="T100" s="48">
        <f t="shared" si="72"/>
        <v>332.17391304347825</v>
      </c>
      <c r="U100" s="48">
        <f t="shared" si="72"/>
        <v>333.04347826086956</v>
      </c>
      <c r="V100" s="48">
        <f t="shared" si="72"/>
        <v>333.91304347826087</v>
      </c>
      <c r="W100" s="48">
        <f t="shared" si="72"/>
        <v>334.78260869565219</v>
      </c>
      <c r="X100" s="48">
        <f t="shared" si="72"/>
        <v>335.6521739130435</v>
      </c>
      <c r="Y100" s="48">
        <f t="shared" si="72"/>
        <v>336.52173913043475</v>
      </c>
      <c r="Z100" s="48">
        <f t="shared" si="72"/>
        <v>337.39130434782606</v>
      </c>
      <c r="AA100" s="48">
        <f t="shared" si="72"/>
        <v>338.26086956521738</v>
      </c>
      <c r="AB100" s="48">
        <f t="shared" si="72"/>
        <v>339.13043478260869</v>
      </c>
      <c r="AC100" s="155">
        <v>340</v>
      </c>
      <c r="AD100" s="48">
        <f>$F100+(($AC100-$F100)/($AC$4-$F$4))*(AD$4-$F$4)</f>
        <v>340.86956521739131</v>
      </c>
      <c r="AE100" s="48">
        <f t="shared" ref="AE100:AR103" si="73">$F100+(($AC100-$F100)/($AC$4-$F$4))*(AE$4-$F$4)</f>
        <v>341.73913043478262</v>
      </c>
      <c r="AF100" s="48">
        <f t="shared" si="73"/>
        <v>342.60869565217394</v>
      </c>
      <c r="AG100" s="48">
        <f t="shared" si="73"/>
        <v>343.47826086956519</v>
      </c>
      <c r="AH100" s="48">
        <f t="shared" si="73"/>
        <v>344.3478260869565</v>
      </c>
      <c r="AI100" s="48">
        <f t="shared" si="73"/>
        <v>345.21739130434781</v>
      </c>
      <c r="AJ100" s="48">
        <f t="shared" si="73"/>
        <v>346.08695652173913</v>
      </c>
      <c r="AK100" s="48">
        <f t="shared" si="73"/>
        <v>346.95652173913044</v>
      </c>
      <c r="AL100" s="48">
        <f t="shared" si="73"/>
        <v>347.82608695652175</v>
      </c>
      <c r="AM100" s="48">
        <f t="shared" si="73"/>
        <v>348.69565217391306</v>
      </c>
      <c r="AN100" s="48">
        <f t="shared" si="73"/>
        <v>349.56521739130437</v>
      </c>
      <c r="AO100" s="48">
        <f t="shared" si="73"/>
        <v>350.43478260869563</v>
      </c>
      <c r="AP100" s="48">
        <f t="shared" si="73"/>
        <v>351.30434782608694</v>
      </c>
      <c r="AQ100" s="48">
        <f t="shared" si="73"/>
        <v>352.17391304347825</v>
      </c>
      <c r="AR100" s="48">
        <f t="shared" si="73"/>
        <v>353.04347826086956</v>
      </c>
    </row>
    <row r="101" spans="2:44">
      <c r="C101" t="s">
        <v>276</v>
      </c>
      <c r="D101" s="48">
        <f t="shared" ref="D101:S103" si="74">$F101+(($AC101-$F101)/($AC$4-$F$4))*(D$4-$F$4)</f>
        <v>222.60869565217391</v>
      </c>
      <c r="E101" s="48">
        <f t="shared" si="74"/>
        <v>221.30434782608697</v>
      </c>
      <c r="F101" s="155">
        <v>220</v>
      </c>
      <c r="G101" s="48">
        <f t="shared" si="74"/>
        <v>218.69565217391303</v>
      </c>
      <c r="H101" s="48">
        <f t="shared" si="74"/>
        <v>217.39130434782609</v>
      </c>
      <c r="I101" s="48">
        <f t="shared" si="74"/>
        <v>216.08695652173913</v>
      </c>
      <c r="J101" s="48">
        <f t="shared" si="74"/>
        <v>214.78260869565219</v>
      </c>
      <c r="K101" s="48">
        <f t="shared" si="74"/>
        <v>213.47826086956522</v>
      </c>
      <c r="L101" s="48">
        <f t="shared" si="74"/>
        <v>212.17391304347825</v>
      </c>
      <c r="M101" s="48">
        <f t="shared" si="74"/>
        <v>210.86956521739131</v>
      </c>
      <c r="N101" s="48">
        <f t="shared" si="74"/>
        <v>209.56521739130434</v>
      </c>
      <c r="O101" s="48">
        <f t="shared" si="74"/>
        <v>208.26086956521738</v>
      </c>
      <c r="P101" s="48">
        <f t="shared" si="74"/>
        <v>206.95652173913044</v>
      </c>
      <c r="Q101" s="48">
        <f t="shared" si="74"/>
        <v>205.65217391304347</v>
      </c>
      <c r="R101" s="48">
        <f t="shared" si="74"/>
        <v>204.34782608695653</v>
      </c>
      <c r="S101" s="48">
        <f t="shared" si="74"/>
        <v>203.04347826086956</v>
      </c>
      <c r="T101" s="48">
        <f t="shared" si="72"/>
        <v>201.73913043478262</v>
      </c>
      <c r="U101" s="48">
        <f t="shared" si="72"/>
        <v>200.43478260869566</v>
      </c>
      <c r="V101" s="48">
        <f t="shared" si="72"/>
        <v>199.13043478260869</v>
      </c>
      <c r="W101" s="48">
        <f t="shared" si="72"/>
        <v>197.82608695652175</v>
      </c>
      <c r="X101" s="48">
        <f t="shared" si="72"/>
        <v>196.52173913043478</v>
      </c>
      <c r="Y101" s="48">
        <f t="shared" si="72"/>
        <v>195.21739130434781</v>
      </c>
      <c r="Z101" s="48">
        <f t="shared" si="72"/>
        <v>193.91304347826087</v>
      </c>
      <c r="AA101" s="48">
        <f t="shared" si="72"/>
        <v>192.60869565217391</v>
      </c>
      <c r="AB101" s="48">
        <f t="shared" si="72"/>
        <v>191.30434782608697</v>
      </c>
      <c r="AC101" s="155">
        <v>190</v>
      </c>
      <c r="AD101" s="48">
        <f t="shared" si="72"/>
        <v>188.69565217391303</v>
      </c>
      <c r="AE101" s="48">
        <f t="shared" si="72"/>
        <v>187.39130434782609</v>
      </c>
      <c r="AF101" s="48">
        <f t="shared" si="73"/>
        <v>186.08695652173913</v>
      </c>
      <c r="AG101" s="48">
        <f t="shared" si="73"/>
        <v>184.78260869565219</v>
      </c>
      <c r="AH101" s="48">
        <f t="shared" si="73"/>
        <v>183.47826086956522</v>
      </c>
      <c r="AI101" s="48">
        <f t="shared" si="73"/>
        <v>182.17391304347825</v>
      </c>
      <c r="AJ101" s="48">
        <f t="shared" si="73"/>
        <v>180.86956521739131</v>
      </c>
      <c r="AK101" s="48">
        <f t="shared" si="73"/>
        <v>179.56521739130434</v>
      </c>
      <c r="AL101" s="48">
        <f t="shared" si="73"/>
        <v>178.26086956521738</v>
      </c>
      <c r="AM101" s="48">
        <f t="shared" si="73"/>
        <v>176.95652173913044</v>
      </c>
      <c r="AN101" s="48">
        <f t="shared" si="73"/>
        <v>175.65217391304347</v>
      </c>
      <c r="AO101" s="48">
        <f t="shared" si="73"/>
        <v>174.34782608695653</v>
      </c>
      <c r="AP101" s="48">
        <f t="shared" si="73"/>
        <v>173.04347826086956</v>
      </c>
      <c r="AQ101" s="48">
        <f t="shared" si="73"/>
        <v>171.73913043478262</v>
      </c>
      <c r="AR101" s="48">
        <f t="shared" si="73"/>
        <v>170.43478260869566</v>
      </c>
    </row>
    <row r="102" spans="2:44">
      <c r="C102" t="s">
        <v>260</v>
      </c>
      <c r="D102" s="48">
        <f t="shared" si="74"/>
        <v>1236.0869565217392</v>
      </c>
      <c r="E102" s="48">
        <f t="shared" si="74"/>
        <v>1253.0434782608695</v>
      </c>
      <c r="F102" s="155">
        <v>1270</v>
      </c>
      <c r="G102" s="48">
        <f t="shared" si="74"/>
        <v>1286.9565217391305</v>
      </c>
      <c r="H102" s="48">
        <f t="shared" si="72"/>
        <v>1303.9130434782608</v>
      </c>
      <c r="I102" s="48">
        <f t="shared" si="72"/>
        <v>1320.8695652173913</v>
      </c>
      <c r="J102" s="48">
        <f t="shared" si="72"/>
        <v>1337.8260869565217</v>
      </c>
      <c r="K102" s="48">
        <f t="shared" si="72"/>
        <v>1354.7826086956522</v>
      </c>
      <c r="L102" s="48">
        <f t="shared" si="72"/>
        <v>1371.7391304347825</v>
      </c>
      <c r="M102" s="48">
        <f t="shared" si="72"/>
        <v>1388.695652173913</v>
      </c>
      <c r="N102" s="48">
        <f t="shared" si="72"/>
        <v>1405.6521739130435</v>
      </c>
      <c r="O102" s="48">
        <f t="shared" si="72"/>
        <v>1422.608695652174</v>
      </c>
      <c r="P102" s="48">
        <f t="shared" si="72"/>
        <v>1439.5652173913043</v>
      </c>
      <c r="Q102" s="48">
        <f t="shared" si="72"/>
        <v>1456.5217391304348</v>
      </c>
      <c r="R102" s="48">
        <f t="shared" si="72"/>
        <v>1473.4782608695652</v>
      </c>
      <c r="S102" s="48">
        <f t="shared" si="72"/>
        <v>1490.4347826086955</v>
      </c>
      <c r="T102" s="48">
        <f t="shared" si="72"/>
        <v>1507.391304347826</v>
      </c>
      <c r="U102" s="48">
        <f t="shared" si="72"/>
        <v>1524.3478260869565</v>
      </c>
      <c r="V102" s="48">
        <f t="shared" si="72"/>
        <v>1541.304347826087</v>
      </c>
      <c r="W102" s="48">
        <f t="shared" si="72"/>
        <v>1558.2608695652175</v>
      </c>
      <c r="X102" s="48">
        <f t="shared" si="72"/>
        <v>1575.2173913043478</v>
      </c>
      <c r="Y102" s="48">
        <f t="shared" si="72"/>
        <v>1592.1739130434783</v>
      </c>
      <c r="Z102" s="48">
        <f t="shared" si="72"/>
        <v>1609.1304347826087</v>
      </c>
      <c r="AA102" s="48">
        <f t="shared" si="72"/>
        <v>1626.086956521739</v>
      </c>
      <c r="AB102" s="48">
        <f t="shared" si="72"/>
        <v>1643.0434782608695</v>
      </c>
      <c r="AC102" s="155">
        <v>1660</v>
      </c>
      <c r="AD102" s="48">
        <f t="shared" si="72"/>
        <v>1676.9565217391305</v>
      </c>
      <c r="AE102" s="48">
        <f t="shared" si="73"/>
        <v>1693.9130434782608</v>
      </c>
      <c r="AF102" s="48">
        <f t="shared" si="73"/>
        <v>1710.8695652173913</v>
      </c>
      <c r="AG102" s="48">
        <f t="shared" si="73"/>
        <v>1727.8260869565217</v>
      </c>
      <c r="AH102" s="48">
        <f t="shared" si="73"/>
        <v>1744.782608695652</v>
      </c>
      <c r="AI102" s="48">
        <f t="shared" si="73"/>
        <v>1761.7391304347825</v>
      </c>
      <c r="AJ102" s="48">
        <f t="shared" si="73"/>
        <v>1778.695652173913</v>
      </c>
      <c r="AK102" s="48">
        <f t="shared" si="73"/>
        <v>1795.6521739130435</v>
      </c>
      <c r="AL102" s="48">
        <f t="shared" si="73"/>
        <v>1812.608695652174</v>
      </c>
      <c r="AM102" s="48">
        <f t="shared" si="73"/>
        <v>1829.5652173913043</v>
      </c>
      <c r="AN102" s="48">
        <f t="shared" si="73"/>
        <v>1846.5217391304348</v>
      </c>
      <c r="AO102" s="48">
        <f t="shared" si="73"/>
        <v>1863.478260869565</v>
      </c>
      <c r="AP102" s="48">
        <f t="shared" si="73"/>
        <v>1880.4347826086955</v>
      </c>
      <c r="AQ102" s="48">
        <f t="shared" si="73"/>
        <v>1897.391304347826</v>
      </c>
      <c r="AR102" s="48">
        <f t="shared" si="73"/>
        <v>1914.3478260869565</v>
      </c>
    </row>
    <row r="103" spans="2:44">
      <c r="C103" t="s">
        <v>261</v>
      </c>
      <c r="D103" s="48">
        <f t="shared" si="74"/>
        <v>1027.8260869565217</v>
      </c>
      <c r="E103" s="48">
        <f t="shared" si="74"/>
        <v>1063.9130434782608</v>
      </c>
      <c r="F103" s="155">
        <v>1100</v>
      </c>
      <c r="G103" s="48">
        <f t="shared" si="74"/>
        <v>1136.0869565217392</v>
      </c>
      <c r="H103" s="48">
        <f t="shared" si="72"/>
        <v>1172.1739130434783</v>
      </c>
      <c r="I103" s="48">
        <f t="shared" si="72"/>
        <v>1208.2608695652175</v>
      </c>
      <c r="J103" s="48">
        <f t="shared" si="72"/>
        <v>1244.3478260869565</v>
      </c>
      <c r="K103" s="48">
        <f t="shared" si="72"/>
        <v>1280.4347826086957</v>
      </c>
      <c r="L103" s="48">
        <f t="shared" si="72"/>
        <v>1316.5217391304348</v>
      </c>
      <c r="M103" s="48">
        <f t="shared" si="72"/>
        <v>1352.608695652174</v>
      </c>
      <c r="N103" s="48">
        <f t="shared" si="72"/>
        <v>1388.695652173913</v>
      </c>
      <c r="O103" s="48">
        <f t="shared" si="72"/>
        <v>1424.7826086956522</v>
      </c>
      <c r="P103" s="48">
        <f t="shared" si="72"/>
        <v>1460.8695652173913</v>
      </c>
      <c r="Q103" s="48">
        <f t="shared" si="72"/>
        <v>1496.9565217391305</v>
      </c>
      <c r="R103" s="48">
        <f t="shared" si="72"/>
        <v>1533.0434782608695</v>
      </c>
      <c r="S103" s="48">
        <f t="shared" si="72"/>
        <v>1569.1304347826087</v>
      </c>
      <c r="T103" s="48">
        <f t="shared" si="72"/>
        <v>1605.217391304348</v>
      </c>
      <c r="U103" s="48">
        <f t="shared" si="72"/>
        <v>1641.304347826087</v>
      </c>
      <c r="V103" s="48">
        <f t="shared" si="72"/>
        <v>1677.391304347826</v>
      </c>
      <c r="W103" s="48">
        <f t="shared" si="72"/>
        <v>1713.4782608695652</v>
      </c>
      <c r="X103" s="48">
        <f t="shared" si="72"/>
        <v>1749.5652173913045</v>
      </c>
      <c r="Y103" s="48">
        <f t="shared" si="72"/>
        <v>1785.6521739130435</v>
      </c>
      <c r="Z103" s="48">
        <f t="shared" si="72"/>
        <v>1821.7391304347825</v>
      </c>
      <c r="AA103" s="48">
        <f t="shared" si="72"/>
        <v>1857.8260869565217</v>
      </c>
      <c r="AB103" s="48">
        <f t="shared" si="72"/>
        <v>1893.913043478261</v>
      </c>
      <c r="AC103" s="155">
        <v>1930</v>
      </c>
      <c r="AD103" s="48">
        <f t="shared" si="72"/>
        <v>1966.0869565217392</v>
      </c>
      <c r="AE103" s="48">
        <f t="shared" si="73"/>
        <v>2002.1739130434785</v>
      </c>
      <c r="AF103" s="48">
        <f t="shared" si="73"/>
        <v>2038.2608695652175</v>
      </c>
      <c r="AG103" s="48">
        <f t="shared" si="73"/>
        <v>2074.3478260869565</v>
      </c>
      <c r="AH103" s="48">
        <f t="shared" si="73"/>
        <v>2110.434782608696</v>
      </c>
      <c r="AI103" s="48">
        <f t="shared" si="73"/>
        <v>2146.521739130435</v>
      </c>
      <c r="AJ103" s="48">
        <f t="shared" si="73"/>
        <v>2182.608695652174</v>
      </c>
      <c r="AK103" s="48">
        <f t="shared" si="73"/>
        <v>2218.695652173913</v>
      </c>
      <c r="AL103" s="48">
        <f t="shared" si="73"/>
        <v>2254.782608695652</v>
      </c>
      <c r="AM103" s="48">
        <f t="shared" si="73"/>
        <v>2290.8695652173915</v>
      </c>
      <c r="AN103" s="48">
        <f t="shared" si="73"/>
        <v>2326.9565217391305</v>
      </c>
      <c r="AO103" s="48">
        <f t="shared" si="73"/>
        <v>2363.04347826087</v>
      </c>
      <c r="AP103" s="48">
        <f t="shared" si="73"/>
        <v>2399.130434782609</v>
      </c>
      <c r="AQ103" s="48">
        <f t="shared" si="73"/>
        <v>2435.217391304348</v>
      </c>
      <c r="AR103" s="48">
        <f t="shared" si="73"/>
        <v>2471.304347826087</v>
      </c>
    </row>
    <row r="104" spans="2:44">
      <c r="B104" s="23" t="s">
        <v>70</v>
      </c>
      <c r="C104" s="23"/>
      <c r="D104" s="66"/>
      <c r="E104" s="66"/>
      <c r="F104" s="67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7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6"/>
      <c r="AP104" s="66"/>
      <c r="AQ104" s="66"/>
      <c r="AR104" s="66"/>
    </row>
    <row r="105" spans="2:44" s="65" customFormat="1">
      <c r="C105" s="188" t="str">
        <f>C100</f>
        <v>WB Approach - 124th Avenue</v>
      </c>
      <c r="D105" s="65">
        <f>$F105+(($AC105-$F105)/($AC$4-$F$4))*(D$4-$F$4)</f>
        <v>178.30434782608697</v>
      </c>
      <c r="E105" s="65">
        <f>$F105+(($AC105-$F105)/($AC$4-$F$4))*(E$4-$F$4)</f>
        <v>175.65217391304347</v>
      </c>
      <c r="F105" s="156">
        <v>173</v>
      </c>
      <c r="G105" s="65">
        <f>$F105+(($AC105-$F105)/($AC$4-$F$4))*(G$4-$F$4)</f>
        <v>170.34782608695653</v>
      </c>
      <c r="H105" s="65">
        <f t="shared" ref="H105:AE110" si="75">$F105+(($AC105-$F105)/($AC$4-$F$4))*(H$4-$F$4)</f>
        <v>167.69565217391303</v>
      </c>
      <c r="I105" s="65">
        <f t="shared" si="75"/>
        <v>165.04347826086956</v>
      </c>
      <c r="J105" s="65">
        <f t="shared" si="75"/>
        <v>162.39130434782609</v>
      </c>
      <c r="K105" s="65">
        <f t="shared" si="75"/>
        <v>159.73913043478262</v>
      </c>
      <c r="L105" s="65">
        <f t="shared" si="75"/>
        <v>157.08695652173913</v>
      </c>
      <c r="M105" s="65">
        <f t="shared" si="75"/>
        <v>154.43478260869566</v>
      </c>
      <c r="N105" s="65">
        <f t="shared" si="75"/>
        <v>151.78260869565219</v>
      </c>
      <c r="O105" s="65">
        <f t="shared" si="75"/>
        <v>149.13043478260869</v>
      </c>
      <c r="P105" s="65">
        <f t="shared" si="75"/>
        <v>146.47826086956522</v>
      </c>
      <c r="Q105" s="65">
        <f t="shared" si="75"/>
        <v>143.82608695652175</v>
      </c>
      <c r="R105" s="65">
        <f t="shared" si="75"/>
        <v>141.17391304347825</v>
      </c>
      <c r="S105" s="65">
        <f t="shared" si="75"/>
        <v>138.52173913043478</v>
      </c>
      <c r="T105" s="65">
        <f t="shared" si="75"/>
        <v>135.86956521739131</v>
      </c>
      <c r="U105" s="65">
        <f t="shared" si="75"/>
        <v>133.21739130434781</v>
      </c>
      <c r="V105" s="65">
        <f t="shared" si="75"/>
        <v>130.56521739130434</v>
      </c>
      <c r="W105" s="65">
        <f t="shared" si="75"/>
        <v>127.91304347826087</v>
      </c>
      <c r="X105" s="65">
        <f t="shared" si="75"/>
        <v>125.2608695652174</v>
      </c>
      <c r="Y105" s="65">
        <f t="shared" si="75"/>
        <v>122.60869565217391</v>
      </c>
      <c r="Z105" s="65">
        <f t="shared" si="75"/>
        <v>119.95652173913044</v>
      </c>
      <c r="AA105" s="65">
        <f t="shared" si="75"/>
        <v>117.30434782608697</v>
      </c>
      <c r="AB105" s="65">
        <f t="shared" si="75"/>
        <v>114.65217391304348</v>
      </c>
      <c r="AC105" s="156">
        <v>112</v>
      </c>
      <c r="AD105" s="65">
        <f t="shared" si="75"/>
        <v>109.34782608695653</v>
      </c>
      <c r="AE105" s="65">
        <f t="shared" si="75"/>
        <v>106.69565217391305</v>
      </c>
      <c r="AF105" s="65">
        <f t="shared" ref="AE105:AR110" si="76">$F105+(($AC105-$F105)/($AC$4-$F$4))*(AF$4-$F$4)</f>
        <v>104.04347826086958</v>
      </c>
      <c r="AG105" s="65">
        <f t="shared" si="76"/>
        <v>101.39130434782609</v>
      </c>
      <c r="AH105" s="65">
        <f t="shared" si="76"/>
        <v>98.739130434782609</v>
      </c>
      <c r="AI105" s="65">
        <f t="shared" si="76"/>
        <v>96.08695652173914</v>
      </c>
      <c r="AJ105" s="65">
        <f t="shared" si="76"/>
        <v>93.434782608695656</v>
      </c>
      <c r="AK105" s="65">
        <f t="shared" si="76"/>
        <v>90.782608695652186</v>
      </c>
      <c r="AL105" s="65">
        <f t="shared" si="76"/>
        <v>88.130434782608702</v>
      </c>
      <c r="AM105" s="65">
        <f t="shared" si="76"/>
        <v>85.478260869565219</v>
      </c>
      <c r="AN105" s="65">
        <f t="shared" si="76"/>
        <v>82.826086956521749</v>
      </c>
      <c r="AO105" s="65">
        <f t="shared" si="76"/>
        <v>80.173913043478265</v>
      </c>
      <c r="AP105" s="65">
        <f t="shared" si="76"/>
        <v>77.521739130434796</v>
      </c>
      <c r="AQ105" s="65">
        <f t="shared" si="76"/>
        <v>74.869565217391312</v>
      </c>
      <c r="AR105" s="65">
        <f t="shared" si="76"/>
        <v>72.217391304347828</v>
      </c>
    </row>
    <row r="106" spans="2:44" s="65" customFormat="1">
      <c r="C106" s="188" t="str">
        <f t="shared" ref="C106:C108" si="77">C101</f>
        <v>EB Approach - 124th Avenue</v>
      </c>
      <c r="D106" s="65">
        <f t="shared" ref="D106:S110" si="78">$F106+(($AC106-$F106)/($AC$4-$F$4))*(D$4-$F$4)</f>
        <v>131.13043478260869</v>
      </c>
      <c r="E106" s="65">
        <f t="shared" si="78"/>
        <v>130.56521739130434</v>
      </c>
      <c r="F106" s="156">
        <v>130</v>
      </c>
      <c r="G106" s="65">
        <f t="shared" si="78"/>
        <v>129.43478260869566</v>
      </c>
      <c r="H106" s="65">
        <f t="shared" si="78"/>
        <v>128.86956521739131</v>
      </c>
      <c r="I106" s="65">
        <f t="shared" si="78"/>
        <v>128.30434782608697</v>
      </c>
      <c r="J106" s="65">
        <f t="shared" si="78"/>
        <v>127.73913043478261</v>
      </c>
      <c r="K106" s="65">
        <f t="shared" si="78"/>
        <v>127.17391304347827</v>
      </c>
      <c r="L106" s="65">
        <f t="shared" si="78"/>
        <v>126.60869565217391</v>
      </c>
      <c r="M106" s="65">
        <f t="shared" si="78"/>
        <v>126.04347826086956</v>
      </c>
      <c r="N106" s="65">
        <f t="shared" si="78"/>
        <v>125.47826086956522</v>
      </c>
      <c r="O106" s="65">
        <f t="shared" si="78"/>
        <v>124.91304347826087</v>
      </c>
      <c r="P106" s="65">
        <f t="shared" si="78"/>
        <v>124.34782608695652</v>
      </c>
      <c r="Q106" s="65">
        <f t="shared" si="78"/>
        <v>123.78260869565217</v>
      </c>
      <c r="R106" s="65">
        <f t="shared" si="78"/>
        <v>123.21739130434783</v>
      </c>
      <c r="S106" s="65">
        <f t="shared" si="78"/>
        <v>122.65217391304348</v>
      </c>
      <c r="T106" s="65">
        <f t="shared" si="75"/>
        <v>122.08695652173913</v>
      </c>
      <c r="U106" s="65">
        <f t="shared" si="75"/>
        <v>121.52173913043478</v>
      </c>
      <c r="V106" s="65">
        <f t="shared" si="75"/>
        <v>120.95652173913044</v>
      </c>
      <c r="W106" s="65">
        <f t="shared" si="75"/>
        <v>120.39130434782609</v>
      </c>
      <c r="X106" s="65">
        <f t="shared" si="75"/>
        <v>119.82608695652173</v>
      </c>
      <c r="Y106" s="65">
        <f t="shared" si="75"/>
        <v>119.26086956521739</v>
      </c>
      <c r="Z106" s="65">
        <f t="shared" si="75"/>
        <v>118.69565217391305</v>
      </c>
      <c r="AA106" s="65">
        <f t="shared" si="75"/>
        <v>118.1304347826087</v>
      </c>
      <c r="AB106" s="65">
        <f t="shared" si="75"/>
        <v>117.56521739130434</v>
      </c>
      <c r="AC106" s="156">
        <v>117</v>
      </c>
      <c r="AD106" s="65">
        <f t="shared" si="75"/>
        <v>116.43478260869566</v>
      </c>
      <c r="AE106" s="65">
        <f t="shared" si="76"/>
        <v>115.86956521739131</v>
      </c>
      <c r="AF106" s="65">
        <f t="shared" si="76"/>
        <v>115.30434782608695</v>
      </c>
      <c r="AG106" s="65">
        <f t="shared" si="76"/>
        <v>114.73913043478261</v>
      </c>
      <c r="AH106" s="65">
        <f t="shared" si="76"/>
        <v>114.17391304347827</v>
      </c>
      <c r="AI106" s="65">
        <f t="shared" si="76"/>
        <v>113.60869565217391</v>
      </c>
      <c r="AJ106" s="65">
        <f t="shared" si="76"/>
        <v>113.04347826086956</v>
      </c>
      <c r="AK106" s="65">
        <f t="shared" si="76"/>
        <v>112.47826086956522</v>
      </c>
      <c r="AL106" s="65">
        <f t="shared" si="76"/>
        <v>111.91304347826087</v>
      </c>
      <c r="AM106" s="65">
        <f t="shared" si="76"/>
        <v>111.34782608695653</v>
      </c>
      <c r="AN106" s="65">
        <f t="shared" si="76"/>
        <v>110.78260869565217</v>
      </c>
      <c r="AO106" s="65">
        <f t="shared" si="76"/>
        <v>110.21739130434783</v>
      </c>
      <c r="AP106" s="65">
        <f t="shared" si="76"/>
        <v>109.65217391304348</v>
      </c>
      <c r="AQ106" s="65">
        <f t="shared" si="76"/>
        <v>109.08695652173913</v>
      </c>
      <c r="AR106" s="65">
        <f t="shared" si="76"/>
        <v>108.52173913043478</v>
      </c>
    </row>
    <row r="107" spans="2:44" s="65" customFormat="1">
      <c r="C107" s="188" t="str">
        <f t="shared" si="77"/>
        <v>NB Approach - US 85</v>
      </c>
      <c r="D107" s="65">
        <f t="shared" si="78"/>
        <v>12.173913043478262</v>
      </c>
      <c r="E107" s="65">
        <f t="shared" si="78"/>
        <v>13.086956521739131</v>
      </c>
      <c r="F107" s="156">
        <v>14</v>
      </c>
      <c r="G107" s="65">
        <f t="shared" si="78"/>
        <v>14.913043478260869</v>
      </c>
      <c r="H107" s="65">
        <f t="shared" si="75"/>
        <v>15.826086956521738</v>
      </c>
      <c r="I107" s="65">
        <f t="shared" si="75"/>
        <v>16.739130434782609</v>
      </c>
      <c r="J107" s="65">
        <f t="shared" si="75"/>
        <v>17.652173913043477</v>
      </c>
      <c r="K107" s="65">
        <f t="shared" si="75"/>
        <v>18.565217391304348</v>
      </c>
      <c r="L107" s="65">
        <f t="shared" si="75"/>
        <v>19.478260869565219</v>
      </c>
      <c r="M107" s="65">
        <f t="shared" si="75"/>
        <v>20.391304347826086</v>
      </c>
      <c r="N107" s="65">
        <f t="shared" si="75"/>
        <v>21.304347826086957</v>
      </c>
      <c r="O107" s="65">
        <f t="shared" si="75"/>
        <v>22.217391304347828</v>
      </c>
      <c r="P107" s="65">
        <f t="shared" si="75"/>
        <v>23.130434782608695</v>
      </c>
      <c r="Q107" s="65">
        <f t="shared" si="75"/>
        <v>24.043478260869563</v>
      </c>
      <c r="R107" s="65">
        <f t="shared" si="75"/>
        <v>24.956521739130434</v>
      </c>
      <c r="S107" s="65">
        <f t="shared" si="75"/>
        <v>25.869565217391305</v>
      </c>
      <c r="T107" s="65">
        <f t="shared" si="75"/>
        <v>26.782608695652172</v>
      </c>
      <c r="U107" s="65">
        <f t="shared" si="75"/>
        <v>27.695652173913043</v>
      </c>
      <c r="V107" s="65">
        <f t="shared" si="75"/>
        <v>28.608695652173914</v>
      </c>
      <c r="W107" s="65">
        <f t="shared" si="75"/>
        <v>29.521739130434781</v>
      </c>
      <c r="X107" s="65">
        <f t="shared" si="75"/>
        <v>30.434782608695652</v>
      </c>
      <c r="Y107" s="65">
        <f t="shared" si="75"/>
        <v>31.34782608695652</v>
      </c>
      <c r="Z107" s="65">
        <f t="shared" si="75"/>
        <v>32.260869565217391</v>
      </c>
      <c r="AA107" s="65">
        <f t="shared" si="75"/>
        <v>33.173913043478258</v>
      </c>
      <c r="AB107" s="65">
        <f t="shared" si="75"/>
        <v>34.086956521739125</v>
      </c>
      <c r="AC107" s="156">
        <v>35</v>
      </c>
      <c r="AD107" s="65">
        <f t="shared" si="75"/>
        <v>35.913043478260867</v>
      </c>
      <c r="AE107" s="65">
        <f t="shared" si="76"/>
        <v>36.826086956521735</v>
      </c>
      <c r="AF107" s="65">
        <f t="shared" si="76"/>
        <v>37.739130434782609</v>
      </c>
      <c r="AG107" s="65">
        <f t="shared" si="76"/>
        <v>38.652173913043477</v>
      </c>
      <c r="AH107" s="65">
        <f t="shared" si="76"/>
        <v>39.565217391304344</v>
      </c>
      <c r="AI107" s="65">
        <f t="shared" si="76"/>
        <v>40.478260869565219</v>
      </c>
      <c r="AJ107" s="65">
        <f t="shared" si="76"/>
        <v>41.391304347826086</v>
      </c>
      <c r="AK107" s="65">
        <f t="shared" si="76"/>
        <v>42.304347826086953</v>
      </c>
      <c r="AL107" s="65">
        <f t="shared" si="76"/>
        <v>43.217391304347828</v>
      </c>
      <c r="AM107" s="65">
        <f t="shared" si="76"/>
        <v>44.130434782608695</v>
      </c>
      <c r="AN107" s="65">
        <f t="shared" si="76"/>
        <v>45.043478260869563</v>
      </c>
      <c r="AO107" s="65">
        <f t="shared" si="76"/>
        <v>45.956521739130437</v>
      </c>
      <c r="AP107" s="65">
        <f t="shared" si="76"/>
        <v>46.869565217391305</v>
      </c>
      <c r="AQ107" s="65">
        <f t="shared" si="76"/>
        <v>47.782608695652172</v>
      </c>
      <c r="AR107" s="65">
        <f t="shared" si="76"/>
        <v>48.695652173913039</v>
      </c>
    </row>
    <row r="108" spans="2:44" s="65" customFormat="1">
      <c r="C108" s="188" t="str">
        <f t="shared" si="77"/>
        <v>SB Approach - US 85</v>
      </c>
      <c r="D108" s="65">
        <f t="shared" si="78"/>
        <v>18.304347826086957</v>
      </c>
      <c r="E108" s="65">
        <f t="shared" si="78"/>
        <v>18.652173913043477</v>
      </c>
      <c r="F108" s="156">
        <v>19</v>
      </c>
      <c r="G108" s="65">
        <f t="shared" si="78"/>
        <v>19.347826086956523</v>
      </c>
      <c r="H108" s="65">
        <f t="shared" si="75"/>
        <v>19.695652173913043</v>
      </c>
      <c r="I108" s="65">
        <f t="shared" si="75"/>
        <v>20.043478260869566</v>
      </c>
      <c r="J108" s="65">
        <f t="shared" si="75"/>
        <v>20.391304347826086</v>
      </c>
      <c r="K108" s="65">
        <f t="shared" si="75"/>
        <v>20.739130434782609</v>
      </c>
      <c r="L108" s="65">
        <f t="shared" si="75"/>
        <v>21.086956521739129</v>
      </c>
      <c r="M108" s="65">
        <f t="shared" si="75"/>
        <v>21.434782608695652</v>
      </c>
      <c r="N108" s="65">
        <f t="shared" si="75"/>
        <v>21.782608695652172</v>
      </c>
      <c r="O108" s="65">
        <f t="shared" si="75"/>
        <v>22.130434782608695</v>
      </c>
      <c r="P108" s="65">
        <f t="shared" si="75"/>
        <v>22.478260869565219</v>
      </c>
      <c r="Q108" s="65">
        <f t="shared" si="75"/>
        <v>22.826086956521738</v>
      </c>
      <c r="R108" s="65">
        <f t="shared" si="75"/>
        <v>23.173913043478262</v>
      </c>
      <c r="S108" s="65">
        <f t="shared" si="75"/>
        <v>23.521739130434781</v>
      </c>
      <c r="T108" s="65">
        <f t="shared" si="75"/>
        <v>23.869565217391305</v>
      </c>
      <c r="U108" s="65">
        <f t="shared" si="75"/>
        <v>24.217391304347828</v>
      </c>
      <c r="V108" s="65">
        <f t="shared" si="75"/>
        <v>24.565217391304348</v>
      </c>
      <c r="W108" s="65">
        <f t="shared" si="75"/>
        <v>24.913043478260867</v>
      </c>
      <c r="X108" s="65">
        <f t="shared" si="75"/>
        <v>25.260869565217391</v>
      </c>
      <c r="Y108" s="65">
        <f t="shared" si="75"/>
        <v>25.608695652173914</v>
      </c>
      <c r="Z108" s="65">
        <f t="shared" si="75"/>
        <v>25.956521739130434</v>
      </c>
      <c r="AA108" s="65">
        <f t="shared" si="75"/>
        <v>26.304347826086957</v>
      </c>
      <c r="AB108" s="65">
        <f t="shared" si="75"/>
        <v>26.652173913043477</v>
      </c>
      <c r="AC108" s="156">
        <v>27</v>
      </c>
      <c r="AD108" s="65">
        <f t="shared" si="75"/>
        <v>27.347826086956523</v>
      </c>
      <c r="AE108" s="65">
        <f t="shared" si="76"/>
        <v>27.695652173913043</v>
      </c>
      <c r="AF108" s="65">
        <f t="shared" si="76"/>
        <v>28.043478260869563</v>
      </c>
      <c r="AG108" s="65">
        <f t="shared" si="76"/>
        <v>28.391304347826086</v>
      </c>
      <c r="AH108" s="65">
        <f t="shared" si="76"/>
        <v>28.739130434782609</v>
      </c>
      <c r="AI108" s="65">
        <f t="shared" si="76"/>
        <v>29.086956521739133</v>
      </c>
      <c r="AJ108" s="65">
        <f t="shared" si="76"/>
        <v>29.434782608695652</v>
      </c>
      <c r="AK108" s="65">
        <f t="shared" si="76"/>
        <v>29.782608695652172</v>
      </c>
      <c r="AL108" s="65">
        <f t="shared" si="76"/>
        <v>30.130434782608695</v>
      </c>
      <c r="AM108" s="65">
        <f t="shared" si="76"/>
        <v>30.478260869565219</v>
      </c>
      <c r="AN108" s="65">
        <f t="shared" si="76"/>
        <v>30.826086956521738</v>
      </c>
      <c r="AO108" s="65">
        <f t="shared" si="76"/>
        <v>31.173913043478258</v>
      </c>
      <c r="AP108" s="65">
        <f t="shared" si="76"/>
        <v>31.521739130434781</v>
      </c>
      <c r="AQ108" s="65">
        <f t="shared" si="76"/>
        <v>31.869565217391305</v>
      </c>
      <c r="AR108" s="65">
        <f t="shared" si="76"/>
        <v>32.217391304347828</v>
      </c>
    </row>
    <row r="109" spans="2:44" s="65" customFormat="1">
      <c r="D109" s="191"/>
      <c r="E109" s="191"/>
      <c r="F109" s="191"/>
      <c r="G109" s="191"/>
      <c r="H109" s="191"/>
      <c r="I109" s="191"/>
      <c r="J109" s="191"/>
      <c r="K109" s="191"/>
      <c r="L109" s="191"/>
      <c r="M109" s="191"/>
      <c r="N109" s="191"/>
      <c r="O109" s="191"/>
      <c r="P109" s="191"/>
      <c r="Q109" s="191"/>
      <c r="R109" s="191"/>
      <c r="S109" s="191"/>
      <c r="T109" s="191"/>
      <c r="U109" s="191"/>
      <c r="V109" s="191"/>
      <c r="W109" s="191"/>
      <c r="X109" s="191"/>
      <c r="Y109" s="191"/>
      <c r="Z109" s="191"/>
      <c r="AA109" s="191"/>
      <c r="AB109" s="191"/>
      <c r="AC109" s="191"/>
      <c r="AD109" s="191"/>
      <c r="AE109" s="191"/>
      <c r="AF109" s="191"/>
      <c r="AG109" s="191"/>
      <c r="AH109" s="191"/>
      <c r="AI109" s="191"/>
      <c r="AJ109" s="191"/>
      <c r="AK109" s="191"/>
      <c r="AL109" s="191"/>
      <c r="AM109" s="191"/>
      <c r="AN109" s="191"/>
      <c r="AO109" s="191"/>
      <c r="AP109" s="191"/>
      <c r="AQ109" s="191"/>
      <c r="AR109" s="191"/>
    </row>
    <row r="110" spans="2:44" s="65" customFormat="1">
      <c r="C110" s="186" t="str">
        <f>"BASELINE (No "&amp;'BCA Summary'!$E$1&amp;" Grant) PM Peak Hour Total Vehicular Delay, hrs"</f>
        <v>BASELINE (No BUILD Grant Grant) PM Peak Hour Total Vehicular Delay, hrs</v>
      </c>
      <c r="D110" s="65">
        <f t="shared" si="78"/>
        <v>32.910144927536237</v>
      </c>
      <c r="E110" s="65">
        <f t="shared" si="78"/>
        <v>33.48840579710145</v>
      </c>
      <c r="F110" s="156">
        <f>((F100*F105)+(F101*F106)+(F102*F107)+(F103*F108))/3600</f>
        <v>34.06666666666667</v>
      </c>
      <c r="G110" s="65">
        <f t="shared" si="78"/>
        <v>34.64492753623189</v>
      </c>
      <c r="H110" s="65">
        <f t="shared" si="75"/>
        <v>35.223188405797103</v>
      </c>
      <c r="I110" s="65">
        <f t="shared" si="75"/>
        <v>35.801449275362323</v>
      </c>
      <c r="J110" s="65">
        <f t="shared" si="75"/>
        <v>36.379710144927536</v>
      </c>
      <c r="K110" s="65">
        <f t="shared" si="75"/>
        <v>36.957971014492756</v>
      </c>
      <c r="L110" s="65">
        <f t="shared" si="75"/>
        <v>37.536231884057976</v>
      </c>
      <c r="M110" s="65">
        <f t="shared" si="75"/>
        <v>38.114492753623189</v>
      </c>
      <c r="N110" s="65">
        <f t="shared" si="75"/>
        <v>38.692753623188409</v>
      </c>
      <c r="O110" s="65">
        <f t="shared" si="75"/>
        <v>39.271014492753622</v>
      </c>
      <c r="P110" s="65">
        <f t="shared" si="75"/>
        <v>39.849275362318842</v>
      </c>
      <c r="Q110" s="65">
        <f t="shared" si="75"/>
        <v>40.427536231884062</v>
      </c>
      <c r="R110" s="65">
        <f t="shared" si="75"/>
        <v>41.005797101449275</v>
      </c>
      <c r="S110" s="65">
        <f t="shared" si="75"/>
        <v>41.584057971014495</v>
      </c>
      <c r="T110" s="65">
        <f t="shared" si="75"/>
        <v>42.162318840579715</v>
      </c>
      <c r="U110" s="65">
        <f t="shared" si="75"/>
        <v>42.740579710144928</v>
      </c>
      <c r="V110" s="65">
        <f t="shared" si="75"/>
        <v>43.318840579710148</v>
      </c>
      <c r="W110" s="65">
        <f t="shared" si="75"/>
        <v>43.897101449275361</v>
      </c>
      <c r="X110" s="65">
        <f t="shared" si="75"/>
        <v>44.475362318840581</v>
      </c>
      <c r="Y110" s="65">
        <f t="shared" si="75"/>
        <v>45.053623188405794</v>
      </c>
      <c r="Z110" s="65">
        <f t="shared" si="75"/>
        <v>45.631884057971014</v>
      </c>
      <c r="AA110" s="65">
        <f t="shared" si="75"/>
        <v>46.210144927536234</v>
      </c>
      <c r="AB110" s="65">
        <f t="shared" si="75"/>
        <v>46.788405797101447</v>
      </c>
      <c r="AC110" s="156">
        <f>((AC100*AC105)+(AC101*AC106)+(AC102*AC107)+(AC103*AC108))/3600</f>
        <v>47.366666666666667</v>
      </c>
      <c r="AD110" s="65">
        <f t="shared" si="75"/>
        <v>47.944927536231887</v>
      </c>
      <c r="AE110" s="65">
        <f t="shared" si="76"/>
        <v>48.5231884057971</v>
      </c>
      <c r="AF110" s="65">
        <f t="shared" si="76"/>
        <v>49.10144927536232</v>
      </c>
      <c r="AG110" s="65">
        <f t="shared" si="76"/>
        <v>49.67971014492754</v>
      </c>
      <c r="AH110" s="65">
        <f t="shared" si="76"/>
        <v>50.257971014492753</v>
      </c>
      <c r="AI110" s="65">
        <f t="shared" si="76"/>
        <v>50.836231884057966</v>
      </c>
      <c r="AJ110" s="65">
        <f t="shared" si="76"/>
        <v>51.414492753623193</v>
      </c>
      <c r="AK110" s="65">
        <f t="shared" si="76"/>
        <v>51.992753623188406</v>
      </c>
      <c r="AL110" s="65">
        <f t="shared" si="76"/>
        <v>52.571014492753619</v>
      </c>
      <c r="AM110" s="65">
        <f t="shared" si="76"/>
        <v>53.149275362318839</v>
      </c>
      <c r="AN110" s="65">
        <f t="shared" si="76"/>
        <v>53.727536231884059</v>
      </c>
      <c r="AO110" s="65">
        <f t="shared" si="76"/>
        <v>54.305797101449272</v>
      </c>
      <c r="AP110" s="65">
        <f t="shared" si="76"/>
        <v>54.884057971014492</v>
      </c>
      <c r="AQ110" s="65">
        <f t="shared" si="76"/>
        <v>55.462318840579712</v>
      </c>
      <c r="AR110" s="65">
        <f t="shared" si="76"/>
        <v>56.040579710144925</v>
      </c>
    </row>
    <row r="112" spans="2:44" s="23" customFormat="1">
      <c r="B112" s="23" t="s">
        <v>277</v>
      </c>
      <c r="D112" s="48">
        <f t="shared" ref="D112:S113" si="79">$F112+(($AC112-$F112)/($AC$4-$F$4))*(D$4-$F$4)</f>
        <v>0</v>
      </c>
      <c r="E112" s="48">
        <f t="shared" si="79"/>
        <v>0</v>
      </c>
      <c r="F112" s="91">
        <v>0</v>
      </c>
      <c r="G112" s="48">
        <f t="shared" si="79"/>
        <v>0</v>
      </c>
      <c r="H112" s="48">
        <f t="shared" si="79"/>
        <v>0</v>
      </c>
      <c r="I112" s="48">
        <f t="shared" si="79"/>
        <v>0</v>
      </c>
      <c r="J112" s="48">
        <f t="shared" si="79"/>
        <v>0</v>
      </c>
      <c r="K112" s="48">
        <f t="shared" si="79"/>
        <v>0</v>
      </c>
      <c r="L112" s="48">
        <f t="shared" si="79"/>
        <v>0</v>
      </c>
      <c r="M112" s="48">
        <f t="shared" si="79"/>
        <v>0</v>
      </c>
      <c r="N112" s="48">
        <f t="shared" si="79"/>
        <v>0</v>
      </c>
      <c r="O112" s="48">
        <f t="shared" si="79"/>
        <v>0</v>
      </c>
      <c r="P112" s="48">
        <f t="shared" si="79"/>
        <v>0</v>
      </c>
      <c r="Q112" s="48">
        <f t="shared" si="79"/>
        <v>0</v>
      </c>
      <c r="R112" s="48">
        <f t="shared" si="79"/>
        <v>0</v>
      </c>
      <c r="S112" s="48">
        <f t="shared" si="79"/>
        <v>0</v>
      </c>
      <c r="T112" s="48">
        <f t="shared" ref="T112:AA113" si="80">$F112+(($AC112-$F112)/($AC$4-$F$4))*(T$4-$F$4)</f>
        <v>0</v>
      </c>
      <c r="U112" s="48">
        <f t="shared" si="80"/>
        <v>0</v>
      </c>
      <c r="V112" s="48">
        <f t="shared" si="80"/>
        <v>0</v>
      </c>
      <c r="W112" s="48">
        <f t="shared" si="80"/>
        <v>0</v>
      </c>
      <c r="X112" s="48">
        <f t="shared" si="80"/>
        <v>0</v>
      </c>
      <c r="Y112" s="48">
        <f t="shared" si="80"/>
        <v>0</v>
      </c>
      <c r="Z112" s="48">
        <f t="shared" si="80"/>
        <v>0</v>
      </c>
      <c r="AA112" s="48">
        <f t="shared" si="80"/>
        <v>0</v>
      </c>
      <c r="AB112" s="48">
        <f>$F112+(($AC112-$F112)/($AC$4-$F$4))*(AB$4-$F$4)</f>
        <v>0</v>
      </c>
      <c r="AC112" s="91">
        <v>0</v>
      </c>
      <c r="AD112" s="48">
        <f>$F112+(($AC112-$F112)/($AC$4-$F$4))*(AD$4-$F$4)</f>
        <v>0</v>
      </c>
      <c r="AE112" s="48">
        <f t="shared" ref="AE112:AR113" si="81">$F112+(($AC112-$F112)/($AC$4-$F$4))*(AE$4-$F$4)</f>
        <v>0</v>
      </c>
      <c r="AF112" s="48">
        <f>$F112+(($AC112-$F112)/($AC$4-$F$4))*(AF$4-$F$4)</f>
        <v>0</v>
      </c>
      <c r="AG112" s="48">
        <f t="shared" si="81"/>
        <v>0</v>
      </c>
      <c r="AH112" s="48">
        <f t="shared" si="81"/>
        <v>0</v>
      </c>
      <c r="AI112" s="48">
        <f t="shared" si="81"/>
        <v>0</v>
      </c>
      <c r="AJ112" s="48">
        <f t="shared" si="81"/>
        <v>0</v>
      </c>
      <c r="AK112" s="48">
        <f t="shared" si="81"/>
        <v>0</v>
      </c>
      <c r="AL112" s="48">
        <f t="shared" si="81"/>
        <v>0</v>
      </c>
      <c r="AM112" s="48">
        <f t="shared" si="81"/>
        <v>0</v>
      </c>
      <c r="AN112" s="48">
        <f t="shared" si="81"/>
        <v>0</v>
      </c>
      <c r="AO112" s="48">
        <f t="shared" si="81"/>
        <v>0</v>
      </c>
      <c r="AP112" s="48">
        <f t="shared" si="81"/>
        <v>0</v>
      </c>
      <c r="AQ112" s="68"/>
      <c r="AR112" s="48">
        <f t="shared" si="81"/>
        <v>0</v>
      </c>
    </row>
    <row r="113" spans="1:44">
      <c r="B113" s="23" t="s">
        <v>278</v>
      </c>
      <c r="C113" s="23"/>
      <c r="D113" s="48">
        <f t="shared" si="79"/>
        <v>0</v>
      </c>
      <c r="E113" s="48">
        <f t="shared" si="79"/>
        <v>0</v>
      </c>
      <c r="F113" s="91">
        <v>0</v>
      </c>
      <c r="G113" s="48">
        <f t="shared" si="79"/>
        <v>0</v>
      </c>
      <c r="H113" s="48">
        <f t="shared" si="79"/>
        <v>0</v>
      </c>
      <c r="I113" s="48">
        <f t="shared" si="79"/>
        <v>0</v>
      </c>
      <c r="J113" s="48">
        <f t="shared" si="79"/>
        <v>0</v>
      </c>
      <c r="K113" s="48">
        <f t="shared" si="79"/>
        <v>0</v>
      </c>
      <c r="L113" s="48">
        <f t="shared" si="79"/>
        <v>0</v>
      </c>
      <c r="M113" s="48">
        <f t="shared" si="79"/>
        <v>0</v>
      </c>
      <c r="N113" s="48">
        <f t="shared" si="79"/>
        <v>0</v>
      </c>
      <c r="O113" s="48">
        <f t="shared" si="79"/>
        <v>0</v>
      </c>
      <c r="P113" s="48">
        <f t="shared" si="79"/>
        <v>0</v>
      </c>
      <c r="Q113" s="48">
        <f t="shared" si="79"/>
        <v>0</v>
      </c>
      <c r="R113" s="48">
        <f t="shared" si="79"/>
        <v>0</v>
      </c>
      <c r="S113" s="48">
        <f t="shared" si="79"/>
        <v>0</v>
      </c>
      <c r="T113" s="48">
        <f t="shared" si="80"/>
        <v>0</v>
      </c>
      <c r="U113" s="48">
        <f t="shared" si="80"/>
        <v>0</v>
      </c>
      <c r="V113" s="48">
        <f t="shared" si="80"/>
        <v>0</v>
      </c>
      <c r="W113" s="48">
        <f t="shared" si="80"/>
        <v>0</v>
      </c>
      <c r="X113" s="48">
        <f t="shared" si="80"/>
        <v>0</v>
      </c>
      <c r="Y113" s="48">
        <f t="shared" si="80"/>
        <v>0</v>
      </c>
      <c r="Z113" s="48">
        <f t="shared" si="80"/>
        <v>0</v>
      </c>
      <c r="AA113" s="48">
        <f t="shared" si="80"/>
        <v>0</v>
      </c>
      <c r="AB113" s="48">
        <f>$F113+(($AC113-$F113)/($AC$4-$F$4))*(AB$4-$F$4)</f>
        <v>0</v>
      </c>
      <c r="AC113" s="91">
        <v>0</v>
      </c>
      <c r="AD113" s="48">
        <f>$F113+(($AC113-$F113)/($AC$4-$F$4))*(AD$4-$F$4)</f>
        <v>0</v>
      </c>
      <c r="AE113" s="48">
        <f t="shared" si="81"/>
        <v>0</v>
      </c>
      <c r="AF113" s="48">
        <f>$F113+(($AC113-$F113)/($AC$4-$F$4))*(AF$4-$F$4)</f>
        <v>0</v>
      </c>
      <c r="AG113" s="48">
        <f t="shared" si="81"/>
        <v>0</v>
      </c>
      <c r="AH113" s="48">
        <f t="shared" si="81"/>
        <v>0</v>
      </c>
      <c r="AI113" s="48">
        <f t="shared" si="81"/>
        <v>0</v>
      </c>
      <c r="AJ113" s="48">
        <f t="shared" si="81"/>
        <v>0</v>
      </c>
      <c r="AK113" s="48">
        <f t="shared" si="81"/>
        <v>0</v>
      </c>
      <c r="AL113" s="48">
        <f t="shared" si="81"/>
        <v>0</v>
      </c>
      <c r="AM113" s="48">
        <f t="shared" si="81"/>
        <v>0</v>
      </c>
      <c r="AN113" s="48">
        <f t="shared" si="81"/>
        <v>0</v>
      </c>
      <c r="AO113" s="48">
        <f t="shared" si="81"/>
        <v>0</v>
      </c>
      <c r="AP113" s="48">
        <f t="shared" si="81"/>
        <v>0</v>
      </c>
      <c r="AQ113" s="66"/>
      <c r="AR113" s="48">
        <f t="shared" si="81"/>
        <v>0</v>
      </c>
    </row>
    <row r="114" spans="1:44"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</row>
    <row r="115" spans="1:44">
      <c r="C115" s="92" t="str">
        <f>"PREFERRED (With "&amp;'BCA Summary'!$E$1&amp;" Grant) PM Peak Hour Total Vehicular Delay, hrs"</f>
        <v>PREFERRED (With BUILD Grant Grant) PM Peak Hour Total Vehicular Delay, hrs</v>
      </c>
      <c r="D115" s="65">
        <f>D112*D113/3600</f>
        <v>0</v>
      </c>
      <c r="E115" s="65">
        <f t="shared" ref="E115:AP115" si="82">E112*E113/3600</f>
        <v>0</v>
      </c>
      <c r="F115" s="190">
        <f t="shared" si="82"/>
        <v>0</v>
      </c>
      <c r="G115" s="65">
        <f t="shared" si="82"/>
        <v>0</v>
      </c>
      <c r="H115" s="65">
        <f t="shared" si="82"/>
        <v>0</v>
      </c>
      <c r="I115" s="65">
        <f t="shared" si="82"/>
        <v>0</v>
      </c>
      <c r="J115" s="65">
        <f t="shared" si="82"/>
        <v>0</v>
      </c>
      <c r="K115" s="65">
        <f t="shared" si="82"/>
        <v>0</v>
      </c>
      <c r="L115" s="65">
        <f t="shared" si="82"/>
        <v>0</v>
      </c>
      <c r="M115" s="65">
        <f t="shared" si="82"/>
        <v>0</v>
      </c>
      <c r="N115" s="65">
        <f t="shared" si="82"/>
        <v>0</v>
      </c>
      <c r="O115" s="65">
        <f t="shared" si="82"/>
        <v>0</v>
      </c>
      <c r="P115" s="65">
        <f t="shared" si="82"/>
        <v>0</v>
      </c>
      <c r="Q115" s="65">
        <f t="shared" si="82"/>
        <v>0</v>
      </c>
      <c r="R115" s="65">
        <f t="shared" si="82"/>
        <v>0</v>
      </c>
      <c r="S115" s="65">
        <f t="shared" si="82"/>
        <v>0</v>
      </c>
      <c r="T115" s="65">
        <f t="shared" si="82"/>
        <v>0</v>
      </c>
      <c r="U115" s="65">
        <f t="shared" si="82"/>
        <v>0</v>
      </c>
      <c r="V115" s="65">
        <f t="shared" si="82"/>
        <v>0</v>
      </c>
      <c r="W115" s="65">
        <f t="shared" si="82"/>
        <v>0</v>
      </c>
      <c r="X115" s="65">
        <f t="shared" si="82"/>
        <v>0</v>
      </c>
      <c r="Y115" s="65">
        <f t="shared" si="82"/>
        <v>0</v>
      </c>
      <c r="Z115" s="65">
        <f t="shared" si="82"/>
        <v>0</v>
      </c>
      <c r="AA115" s="65">
        <f t="shared" si="82"/>
        <v>0</v>
      </c>
      <c r="AB115" s="65">
        <f t="shared" si="82"/>
        <v>0</v>
      </c>
      <c r="AC115" s="190">
        <f t="shared" si="82"/>
        <v>0</v>
      </c>
      <c r="AD115" s="65">
        <f t="shared" si="82"/>
        <v>0</v>
      </c>
      <c r="AE115" s="65">
        <f t="shared" si="82"/>
        <v>0</v>
      </c>
      <c r="AF115" s="65">
        <f t="shared" si="82"/>
        <v>0</v>
      </c>
      <c r="AG115" s="65">
        <f t="shared" si="82"/>
        <v>0</v>
      </c>
      <c r="AH115" s="65">
        <f t="shared" si="82"/>
        <v>0</v>
      </c>
      <c r="AI115" s="65">
        <f t="shared" si="82"/>
        <v>0</v>
      </c>
      <c r="AJ115" s="65">
        <f t="shared" si="82"/>
        <v>0</v>
      </c>
      <c r="AK115" s="65">
        <f t="shared" si="82"/>
        <v>0</v>
      </c>
      <c r="AL115" s="65">
        <f t="shared" si="82"/>
        <v>0</v>
      </c>
      <c r="AM115" s="65">
        <f t="shared" si="82"/>
        <v>0</v>
      </c>
      <c r="AN115" s="65">
        <f t="shared" si="82"/>
        <v>0</v>
      </c>
      <c r="AO115" s="65">
        <f t="shared" si="82"/>
        <v>0</v>
      </c>
      <c r="AP115" s="65">
        <f t="shared" si="82"/>
        <v>0</v>
      </c>
      <c r="AQ115" s="48">
        <f t="shared" ref="AQ115" si="83">$F115+(($AC115-$F115)/($AC$4-$F$4))*(AQ$4-$F$4)</f>
        <v>0</v>
      </c>
      <c r="AR115" s="65">
        <f t="shared" ref="AR115" si="84">AR112*AR113/3600</f>
        <v>0</v>
      </c>
    </row>
    <row r="118" spans="1:44">
      <c r="A118" s="37" t="s">
        <v>432</v>
      </c>
      <c r="B118" s="38"/>
      <c r="C118" s="38"/>
      <c r="D118" s="179">
        <f>(D21+D56+D92+D110)*2.5*$D$131</f>
        <v>90918.28125</v>
      </c>
      <c r="E118" s="179">
        <f t="shared" ref="E118:AQ118" si="85">(E21+E56+E92+E110)*2.5*$D$131</f>
        <v>103150.6875</v>
      </c>
      <c r="F118" s="179">
        <f t="shared" si="85"/>
        <v>115383.09375000001</v>
      </c>
      <c r="G118" s="179">
        <f t="shared" si="85"/>
        <v>127615.50000000001</v>
      </c>
      <c r="H118" s="179">
        <f t="shared" si="85"/>
        <v>139847.90624999997</v>
      </c>
      <c r="I118" s="179">
        <f t="shared" si="85"/>
        <v>152080.31250000003</v>
      </c>
      <c r="J118" s="179">
        <f t="shared" si="85"/>
        <v>164312.71874999997</v>
      </c>
      <c r="K118" s="179">
        <f t="shared" si="85"/>
        <v>176545.12500000003</v>
      </c>
      <c r="L118" s="179">
        <f t="shared" si="85"/>
        <v>188777.53125</v>
      </c>
      <c r="M118" s="179">
        <f t="shared" si="85"/>
        <v>201009.93749999997</v>
      </c>
      <c r="N118" s="179">
        <f t="shared" si="85"/>
        <v>213242.34375</v>
      </c>
      <c r="O118" s="179">
        <f t="shared" si="85"/>
        <v>225474.75000000003</v>
      </c>
      <c r="P118" s="179">
        <f t="shared" si="85"/>
        <v>237707.15624999997</v>
      </c>
      <c r="Q118" s="179">
        <f t="shared" si="85"/>
        <v>249939.56249999994</v>
      </c>
      <c r="R118" s="179">
        <f t="shared" si="85"/>
        <v>262171.96875</v>
      </c>
      <c r="S118" s="179">
        <f t="shared" si="85"/>
        <v>274404.37500000006</v>
      </c>
      <c r="T118" s="179">
        <f t="shared" si="85"/>
        <v>286636.78125</v>
      </c>
      <c r="U118" s="179">
        <f t="shared" si="85"/>
        <v>298869.18749999994</v>
      </c>
      <c r="V118" s="179">
        <f t="shared" si="85"/>
        <v>311101.59375</v>
      </c>
      <c r="W118" s="179">
        <f t="shared" si="85"/>
        <v>323333.99999999994</v>
      </c>
      <c r="X118" s="179">
        <f t="shared" si="85"/>
        <v>335566.40625</v>
      </c>
      <c r="Y118" s="179">
        <f t="shared" si="85"/>
        <v>347798.8125</v>
      </c>
      <c r="Z118" s="179">
        <f t="shared" si="85"/>
        <v>360031.21875000006</v>
      </c>
      <c r="AA118" s="179">
        <f t="shared" si="85"/>
        <v>372263.62500000006</v>
      </c>
      <c r="AB118" s="179">
        <f t="shared" si="85"/>
        <v>384496.03124999994</v>
      </c>
      <c r="AC118" s="179">
        <f t="shared" si="85"/>
        <v>396728.4375</v>
      </c>
      <c r="AD118" s="179">
        <f t="shared" si="85"/>
        <v>408960.84375000006</v>
      </c>
      <c r="AE118" s="179">
        <f t="shared" si="85"/>
        <v>421193.24999999994</v>
      </c>
      <c r="AF118" s="179">
        <f t="shared" si="85"/>
        <v>433425.65625000006</v>
      </c>
      <c r="AG118" s="179">
        <f t="shared" si="85"/>
        <v>445658.0625</v>
      </c>
      <c r="AH118" s="179">
        <f t="shared" si="85"/>
        <v>457890.46875</v>
      </c>
      <c r="AI118" s="179">
        <f t="shared" si="85"/>
        <v>470122.87500000006</v>
      </c>
      <c r="AJ118" s="179">
        <f t="shared" si="85"/>
        <v>482355.28125000006</v>
      </c>
      <c r="AK118" s="179">
        <f t="shared" si="85"/>
        <v>494587.68749999994</v>
      </c>
      <c r="AL118" s="179">
        <f t="shared" si="85"/>
        <v>506820.09375000012</v>
      </c>
      <c r="AM118" s="179">
        <f t="shared" si="85"/>
        <v>519052.5</v>
      </c>
      <c r="AN118" s="179">
        <f t="shared" si="85"/>
        <v>531284.90625</v>
      </c>
      <c r="AO118" s="179">
        <f t="shared" si="85"/>
        <v>543517.3125</v>
      </c>
      <c r="AP118" s="179">
        <f t="shared" si="85"/>
        <v>555749.71875</v>
      </c>
      <c r="AQ118" s="179">
        <f t="shared" si="85"/>
        <v>567982.12499999988</v>
      </c>
      <c r="AR118" s="179">
        <f t="shared" ref="AR118" si="86">(AR21+AR56+AR92+AR110)*2.5*$D$131</f>
        <v>580214.53125</v>
      </c>
    </row>
    <row r="119" spans="1:44">
      <c r="A119" s="26" t="s">
        <v>433</v>
      </c>
      <c r="D119" s="180">
        <f>IF(D7="Yes",((D43+D78+D97+D115)*2.5)*$D$131,D118)</f>
        <v>90918.28125</v>
      </c>
      <c r="E119" s="180">
        <f t="shared" ref="E119:AQ119" si="87">IF(E7="Yes",((E43+E78+E97+E115)*2.5)*$D$131,E118)</f>
        <v>103150.6875</v>
      </c>
      <c r="F119" s="180">
        <f t="shared" si="87"/>
        <v>115383.09375000001</v>
      </c>
      <c r="G119" s="180">
        <f t="shared" si="87"/>
        <v>127615.50000000001</v>
      </c>
      <c r="H119" s="180">
        <f t="shared" si="87"/>
        <v>139847.90624999997</v>
      </c>
      <c r="I119" s="180">
        <f t="shared" si="87"/>
        <v>152080.31250000003</v>
      </c>
      <c r="J119" s="180">
        <f t="shared" si="87"/>
        <v>164312.71874999997</v>
      </c>
      <c r="K119" s="180">
        <f t="shared" si="87"/>
        <v>176545.12500000003</v>
      </c>
      <c r="L119" s="180">
        <f t="shared" si="87"/>
        <v>188777.53125</v>
      </c>
      <c r="M119" s="180">
        <f t="shared" si="87"/>
        <v>201009.93749999997</v>
      </c>
      <c r="N119" s="180">
        <f t="shared" si="87"/>
        <v>213242.34375</v>
      </c>
      <c r="O119" s="180">
        <f t="shared" si="87"/>
        <v>225474.75000000003</v>
      </c>
      <c r="P119" s="180">
        <f t="shared" si="87"/>
        <v>237707.15624999997</v>
      </c>
      <c r="Q119" s="180">
        <f t="shared" si="87"/>
        <v>249939.56249999994</v>
      </c>
      <c r="R119" s="180">
        <f t="shared" si="87"/>
        <v>262171.96875</v>
      </c>
      <c r="S119" s="180">
        <f t="shared" si="87"/>
        <v>43208.72282608696</v>
      </c>
      <c r="T119" s="180">
        <f t="shared" si="87"/>
        <v>44351.521739130447</v>
      </c>
      <c r="U119" s="180">
        <f t="shared" si="87"/>
        <v>45503.32427536232</v>
      </c>
      <c r="V119" s="180">
        <f t="shared" si="87"/>
        <v>46664.130434782608</v>
      </c>
      <c r="W119" s="180">
        <f t="shared" si="87"/>
        <v>47833.940217391311</v>
      </c>
      <c r="X119" s="180">
        <f t="shared" si="87"/>
        <v>49012.753623188401</v>
      </c>
      <c r="Y119" s="180">
        <f t="shared" si="87"/>
        <v>50200.570652173912</v>
      </c>
      <c r="Z119" s="180">
        <f t="shared" si="87"/>
        <v>51397.391304347824</v>
      </c>
      <c r="AA119" s="180">
        <f t="shared" si="87"/>
        <v>52603.215579710137</v>
      </c>
      <c r="AB119" s="180">
        <f t="shared" si="87"/>
        <v>53818.043478260872</v>
      </c>
      <c r="AC119" s="180">
        <f t="shared" si="87"/>
        <v>55041.875</v>
      </c>
      <c r="AD119" s="180">
        <f t="shared" si="87"/>
        <v>56274.710144927536</v>
      </c>
      <c r="AE119" s="180">
        <f t="shared" si="87"/>
        <v>57516.548913043487</v>
      </c>
      <c r="AF119" s="180">
        <f t="shared" si="87"/>
        <v>58767.391304347817</v>
      </c>
      <c r="AG119" s="180">
        <f t="shared" si="87"/>
        <v>60027.237318840584</v>
      </c>
      <c r="AH119" s="180">
        <f t="shared" si="87"/>
        <v>61296.086956521744</v>
      </c>
      <c r="AI119" s="180">
        <f t="shared" si="87"/>
        <v>62573.940217391297</v>
      </c>
      <c r="AJ119" s="180">
        <f t="shared" si="87"/>
        <v>63860.797101449265</v>
      </c>
      <c r="AK119" s="180">
        <f t="shared" si="87"/>
        <v>65156.657608695648</v>
      </c>
      <c r="AL119" s="180">
        <f t="shared" si="87"/>
        <v>66461.521739130432</v>
      </c>
      <c r="AM119" s="180">
        <f t="shared" si="87"/>
        <v>67775.389492753631</v>
      </c>
      <c r="AN119" s="180">
        <f t="shared" si="87"/>
        <v>69098.260869565216</v>
      </c>
      <c r="AO119" s="180">
        <f t="shared" si="87"/>
        <v>70430.135869565231</v>
      </c>
      <c r="AP119" s="180">
        <f t="shared" si="87"/>
        <v>71771.014492753617</v>
      </c>
      <c r="AQ119" s="180">
        <f t="shared" si="87"/>
        <v>73120.896739130432</v>
      </c>
      <c r="AR119" s="180">
        <f t="shared" ref="AR119" si="88">IF(AR7="Yes",((AR43+AR78+AR97+AR115)*2.5)*$D$131,AR118)</f>
        <v>74479.782608695648</v>
      </c>
    </row>
    <row r="120" spans="1:44">
      <c r="A120" s="39" t="s">
        <v>30</v>
      </c>
      <c r="B120" s="40"/>
      <c r="C120" s="40"/>
      <c r="D120" s="41">
        <f>D118-D119</f>
        <v>0</v>
      </c>
      <c r="E120" s="41">
        <f t="shared" ref="E120:AQ120" si="89">E118-E119</f>
        <v>0</v>
      </c>
      <c r="F120" s="41">
        <f t="shared" si="89"/>
        <v>0</v>
      </c>
      <c r="G120" s="41">
        <f t="shared" si="89"/>
        <v>0</v>
      </c>
      <c r="H120" s="41">
        <f t="shared" si="89"/>
        <v>0</v>
      </c>
      <c r="I120" s="41">
        <f t="shared" si="89"/>
        <v>0</v>
      </c>
      <c r="J120" s="41">
        <f t="shared" si="89"/>
        <v>0</v>
      </c>
      <c r="K120" s="41">
        <f t="shared" si="89"/>
        <v>0</v>
      </c>
      <c r="L120" s="41">
        <f t="shared" si="89"/>
        <v>0</v>
      </c>
      <c r="M120" s="41">
        <f t="shared" si="89"/>
        <v>0</v>
      </c>
      <c r="N120" s="41">
        <f t="shared" si="89"/>
        <v>0</v>
      </c>
      <c r="O120" s="41">
        <f t="shared" si="89"/>
        <v>0</v>
      </c>
      <c r="P120" s="41">
        <f t="shared" si="89"/>
        <v>0</v>
      </c>
      <c r="Q120" s="41">
        <f t="shared" si="89"/>
        <v>0</v>
      </c>
      <c r="R120" s="41">
        <f t="shared" si="89"/>
        <v>0</v>
      </c>
      <c r="S120" s="41">
        <f t="shared" si="89"/>
        <v>231195.65217391308</v>
      </c>
      <c r="T120" s="41">
        <f t="shared" si="89"/>
        <v>242285.25951086957</v>
      </c>
      <c r="U120" s="41">
        <f t="shared" si="89"/>
        <v>253365.86322463764</v>
      </c>
      <c r="V120" s="41">
        <f t="shared" si="89"/>
        <v>264437.46331521741</v>
      </c>
      <c r="W120" s="41">
        <f t="shared" si="89"/>
        <v>275500.05978260865</v>
      </c>
      <c r="X120" s="41">
        <f t="shared" si="89"/>
        <v>286553.65262681158</v>
      </c>
      <c r="Y120" s="41">
        <f t="shared" si="89"/>
        <v>297598.24184782611</v>
      </c>
      <c r="Z120" s="41">
        <f t="shared" si="89"/>
        <v>308633.82744565222</v>
      </c>
      <c r="AA120" s="41">
        <f t="shared" si="89"/>
        <v>319660.40942028991</v>
      </c>
      <c r="AB120" s="41">
        <f t="shared" si="89"/>
        <v>330677.98777173908</v>
      </c>
      <c r="AC120" s="41">
        <f t="shared" si="89"/>
        <v>341686.5625</v>
      </c>
      <c r="AD120" s="41">
        <f t="shared" si="89"/>
        <v>352686.13360507251</v>
      </c>
      <c r="AE120" s="41">
        <f t="shared" si="89"/>
        <v>363676.70108695643</v>
      </c>
      <c r="AF120" s="41">
        <f t="shared" si="89"/>
        <v>374658.26494565222</v>
      </c>
      <c r="AG120" s="41">
        <f t="shared" si="89"/>
        <v>385630.82518115942</v>
      </c>
      <c r="AH120" s="41">
        <f t="shared" si="89"/>
        <v>396594.38179347827</v>
      </c>
      <c r="AI120" s="41">
        <f t="shared" si="89"/>
        <v>407548.93478260876</v>
      </c>
      <c r="AJ120" s="41">
        <f t="shared" si="89"/>
        <v>418494.48414855078</v>
      </c>
      <c r="AK120" s="41">
        <f t="shared" si="89"/>
        <v>429431.02989130432</v>
      </c>
      <c r="AL120" s="41">
        <f t="shared" si="89"/>
        <v>440358.57201086968</v>
      </c>
      <c r="AM120" s="41">
        <f t="shared" si="89"/>
        <v>451277.11050724634</v>
      </c>
      <c r="AN120" s="41">
        <f t="shared" si="89"/>
        <v>462186.64538043481</v>
      </c>
      <c r="AO120" s="41">
        <f t="shared" si="89"/>
        <v>473087.17663043475</v>
      </c>
      <c r="AP120" s="41">
        <f t="shared" si="89"/>
        <v>483978.7042572464</v>
      </c>
      <c r="AQ120" s="41">
        <f t="shared" si="89"/>
        <v>494861.22826086945</v>
      </c>
      <c r="AR120" s="41">
        <f t="shared" ref="AR120" si="90">AR118-AR119</f>
        <v>505734.74864130432</v>
      </c>
    </row>
    <row r="121" spans="1:44">
      <c r="B121" s="36"/>
      <c r="C121" s="34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1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</row>
    <row r="122" spans="1:44">
      <c r="A122" s="37" t="s">
        <v>213</v>
      </c>
      <c r="B122" s="38"/>
      <c r="C122" s="38"/>
      <c r="D122" s="49">
        <f>(((((D13*D18)+(D14*D19)+(D48*D53)+(D49*D54)+(D84*D89)+(D85*D90)+(D102*D107)+(D103*D108))*$D$132)+(((D11*D16)+(D12*D17)+(D46*D51)+(D47*D52))*$D$133)+(((D82*D87)+(D83*D88)+(D100*D105)+(D101*D106))*$D$134))/3600)*2.5*$D$131</f>
        <v>4658.6523142117339</v>
      </c>
      <c r="E122" s="49">
        <f t="shared" ref="E122:AQ122" si="91">(((((E13*E18)+(E14*E19)+(E48*E53)+(E49*E54)+(E84*E89)+(E85*E90)+(E102*E107)+(E103*E108))*$D$132)+(((E11*E16)+(E12*E17)+(E46*E51)+(E47*E52))*$D$133)+(((E82*E87)+(E83*E88)+(E100*E105)+(E101*E106))*$D$134))/3600)*2.5*$D$131</f>
        <v>5048.50554278868</v>
      </c>
      <c r="F122" s="49">
        <f t="shared" si="91"/>
        <v>5455.4327416311589</v>
      </c>
      <c r="G122" s="49">
        <f t="shared" si="91"/>
        <v>5879.4339107391725</v>
      </c>
      <c r="H122" s="49">
        <f t="shared" si="91"/>
        <v>6320.5090501127188</v>
      </c>
      <c r="I122" s="49">
        <f t="shared" si="91"/>
        <v>6778.6581597517979</v>
      </c>
      <c r="J122" s="49">
        <f t="shared" si="91"/>
        <v>7253.8812396564108</v>
      </c>
      <c r="K122" s="49">
        <f t="shared" si="91"/>
        <v>7746.1782898265565</v>
      </c>
      <c r="L122" s="49">
        <f t="shared" si="91"/>
        <v>8255.5493102622386</v>
      </c>
      <c r="M122" s="49">
        <f t="shared" si="91"/>
        <v>8781.9943009634535</v>
      </c>
      <c r="N122" s="49">
        <f t="shared" si="91"/>
        <v>9325.5132619302003</v>
      </c>
      <c r="O122" s="49">
        <f t="shared" si="91"/>
        <v>9886.1061931624827</v>
      </c>
      <c r="P122" s="49">
        <f t="shared" si="91"/>
        <v>10463.773094660297</v>
      </c>
      <c r="Q122" s="49">
        <f t="shared" si="91"/>
        <v>11058.513966423643</v>
      </c>
      <c r="R122" s="49">
        <f t="shared" si="91"/>
        <v>11670.328808452527</v>
      </c>
      <c r="S122" s="49">
        <f t="shared" si="91"/>
        <v>12299.217620746942</v>
      </c>
      <c r="T122" s="49">
        <f t="shared" si="91"/>
        <v>12945.180403306893</v>
      </c>
      <c r="U122" s="49">
        <f t="shared" si="91"/>
        <v>13608.217156132379</v>
      </c>
      <c r="V122" s="49">
        <f t="shared" si="91"/>
        <v>14288.327879223392</v>
      </c>
      <c r="W122" s="49">
        <f t="shared" si="91"/>
        <v>14985.512572579948</v>
      </c>
      <c r="X122" s="49">
        <f t="shared" si="91"/>
        <v>15699.771236202028</v>
      </c>
      <c r="Y122" s="49">
        <f t="shared" si="91"/>
        <v>16431.103870089646</v>
      </c>
      <c r="Z122" s="49">
        <f t="shared" si="91"/>
        <v>17179.510474242797</v>
      </c>
      <c r="AA122" s="49">
        <f t="shared" si="91"/>
        <v>17944.991048661479</v>
      </c>
      <c r="AB122" s="49">
        <f t="shared" si="91"/>
        <v>18727.545593345698</v>
      </c>
      <c r="AC122" s="49">
        <f t="shared" si="91"/>
        <v>19527.174108295447</v>
      </c>
      <c r="AD122" s="49">
        <f t="shared" si="91"/>
        <v>20343.87659351074</v>
      </c>
      <c r="AE122" s="49">
        <f t="shared" si="91"/>
        <v>21177.653048991557</v>
      </c>
      <c r="AF122" s="49">
        <f t="shared" si="91"/>
        <v>22028.503474737914</v>
      </c>
      <c r="AG122" s="49">
        <f t="shared" si="91"/>
        <v>22896.427870749791</v>
      </c>
      <c r="AH122" s="49">
        <f t="shared" si="91"/>
        <v>23781.426237027215</v>
      </c>
      <c r="AI122" s="49">
        <f t="shared" si="91"/>
        <v>24683.498573570167</v>
      </c>
      <c r="AJ122" s="49">
        <f t="shared" si="91"/>
        <v>25602.644880378659</v>
      </c>
      <c r="AK122" s="49">
        <f t="shared" si="91"/>
        <v>26538.865157452678</v>
      </c>
      <c r="AL122" s="49">
        <f t="shared" si="91"/>
        <v>27492.15940479223</v>
      </c>
      <c r="AM122" s="49">
        <f t="shared" si="91"/>
        <v>28462.527622397316</v>
      </c>
      <c r="AN122" s="49">
        <f t="shared" si="91"/>
        <v>29449.969810267943</v>
      </c>
      <c r="AO122" s="49">
        <f t="shared" si="91"/>
        <v>30454.485968404097</v>
      </c>
      <c r="AP122" s="49">
        <f t="shared" si="91"/>
        <v>31476.076096805788</v>
      </c>
      <c r="AQ122" s="49">
        <f t="shared" si="91"/>
        <v>32514.740195473008</v>
      </c>
      <c r="AR122" s="49">
        <f t="shared" ref="AR122" si="92">(((((AR13*AR18)+(AR14*AR19)+(AR48*AR53)+(AR49*AR54)+(AR84*AR89)+(AR85*AR90)+(AR102*AR107)+(AR103*AR108))*$D$132)+(((AR11*AR16)+(AR12*AR17)+(AR46*AR51)+(AR47*AR52))*$D$133)+(((AR82*AR87)+(AR83*AR88)+(AR100*AR105)+(AR101*AR106))*$D$134))/3600)*2.5*$D$131</f>
        <v>33570.47826440577</v>
      </c>
    </row>
    <row r="123" spans="1:44">
      <c r="A123" s="26" t="s">
        <v>232</v>
      </c>
      <c r="D123" s="50">
        <f>IF(D7="Yes",(D119)*$D$132,D122)</f>
        <v>4658.6523142117339</v>
      </c>
      <c r="E123" s="50">
        <f t="shared" ref="E123:AQ123" si="93">IF(E7="Yes",(E119)*$D$132,E122)</f>
        <v>5048.50554278868</v>
      </c>
      <c r="F123" s="50">
        <f t="shared" si="93"/>
        <v>5455.4327416311589</v>
      </c>
      <c r="G123" s="50">
        <f t="shared" si="93"/>
        <v>5879.4339107391725</v>
      </c>
      <c r="H123" s="50">
        <f t="shared" si="93"/>
        <v>6320.5090501127188</v>
      </c>
      <c r="I123" s="50">
        <f t="shared" si="93"/>
        <v>6778.6581597517979</v>
      </c>
      <c r="J123" s="50">
        <f t="shared" si="93"/>
        <v>7253.8812396564108</v>
      </c>
      <c r="K123" s="50">
        <f t="shared" si="93"/>
        <v>7746.1782898265565</v>
      </c>
      <c r="L123" s="50">
        <f t="shared" si="93"/>
        <v>8255.5493102622386</v>
      </c>
      <c r="M123" s="50">
        <f t="shared" si="93"/>
        <v>8781.9943009634535</v>
      </c>
      <c r="N123" s="50">
        <f t="shared" si="93"/>
        <v>9325.5132619302003</v>
      </c>
      <c r="O123" s="50">
        <f t="shared" si="93"/>
        <v>9886.1061931624827</v>
      </c>
      <c r="P123" s="50">
        <f t="shared" si="93"/>
        <v>10463.773094660297</v>
      </c>
      <c r="Q123" s="50">
        <f t="shared" si="93"/>
        <v>11058.513966423643</v>
      </c>
      <c r="R123" s="50">
        <f t="shared" si="93"/>
        <v>11670.328808452527</v>
      </c>
      <c r="S123" s="50">
        <f t="shared" si="93"/>
        <v>3188.9477956674668</v>
      </c>
      <c r="T123" s="50">
        <f t="shared" si="93"/>
        <v>3273.2901653623417</v>
      </c>
      <c r="U123" s="50">
        <f t="shared" si="93"/>
        <v>3358.2970324651865</v>
      </c>
      <c r="V123" s="50">
        <f t="shared" si="93"/>
        <v>3443.9683969760035</v>
      </c>
      <c r="W123" s="50">
        <f t="shared" si="93"/>
        <v>3530.3042588947924</v>
      </c>
      <c r="X123" s="50">
        <f t="shared" si="93"/>
        <v>3617.3046182215508</v>
      </c>
      <c r="Y123" s="50">
        <f t="shared" si="93"/>
        <v>3704.9694749562823</v>
      </c>
      <c r="Z123" s="50">
        <f t="shared" si="93"/>
        <v>3793.2988290989842</v>
      </c>
      <c r="AA123" s="50">
        <f t="shared" si="93"/>
        <v>3882.2926806496575</v>
      </c>
      <c r="AB123" s="50">
        <f t="shared" si="93"/>
        <v>3971.9510296083035</v>
      </c>
      <c r="AC123" s="50">
        <f t="shared" si="93"/>
        <v>4062.2738759749195</v>
      </c>
      <c r="AD123" s="50">
        <f t="shared" si="93"/>
        <v>4153.2612197495073</v>
      </c>
      <c r="AE123" s="50">
        <f t="shared" si="93"/>
        <v>4244.9130609320673</v>
      </c>
      <c r="AF123" s="50">
        <f t="shared" si="93"/>
        <v>4337.2293995225964</v>
      </c>
      <c r="AG123" s="50">
        <f t="shared" si="93"/>
        <v>4430.2102355210991</v>
      </c>
      <c r="AH123" s="50">
        <f t="shared" si="93"/>
        <v>4523.8555689275718</v>
      </c>
      <c r="AI123" s="50">
        <f t="shared" si="93"/>
        <v>4618.1653997420153</v>
      </c>
      <c r="AJ123" s="50">
        <f t="shared" si="93"/>
        <v>4713.1397279644307</v>
      </c>
      <c r="AK123" s="50">
        <f t="shared" si="93"/>
        <v>4808.7785535948187</v>
      </c>
      <c r="AL123" s="50">
        <f t="shared" si="93"/>
        <v>4905.0818766331777</v>
      </c>
      <c r="AM123" s="50">
        <f t="shared" si="93"/>
        <v>5002.0496970795075</v>
      </c>
      <c r="AN123" s="50">
        <f t="shared" si="93"/>
        <v>5099.6820149338082</v>
      </c>
      <c r="AO123" s="50">
        <f t="shared" si="93"/>
        <v>5197.9788301960816</v>
      </c>
      <c r="AP123" s="50">
        <f t="shared" si="93"/>
        <v>5296.9401428663241</v>
      </c>
      <c r="AQ123" s="50">
        <f t="shared" si="93"/>
        <v>5396.5659529445402</v>
      </c>
      <c r="AR123" s="50">
        <f t="shared" ref="AR123" si="94">IF(AR7="Yes",(AR119)*$D$132,AR122)</f>
        <v>5496.8562604307263</v>
      </c>
    </row>
    <row r="124" spans="1:44">
      <c r="A124" s="39" t="s">
        <v>30</v>
      </c>
      <c r="B124" s="40"/>
      <c r="C124" s="40"/>
      <c r="D124" s="71">
        <f>D122-D123</f>
        <v>0</v>
      </c>
      <c r="E124" s="71">
        <f t="shared" ref="E124:T124" si="95">E122-E123</f>
        <v>0</v>
      </c>
      <c r="F124" s="71">
        <f t="shared" si="95"/>
        <v>0</v>
      </c>
      <c r="G124" s="71">
        <f t="shared" si="95"/>
        <v>0</v>
      </c>
      <c r="H124" s="71">
        <f t="shared" si="95"/>
        <v>0</v>
      </c>
      <c r="I124" s="71">
        <f t="shared" si="95"/>
        <v>0</v>
      </c>
      <c r="J124" s="71">
        <f t="shared" si="95"/>
        <v>0</v>
      </c>
      <c r="K124" s="71">
        <f t="shared" si="95"/>
        <v>0</v>
      </c>
      <c r="L124" s="71">
        <f t="shared" si="95"/>
        <v>0</v>
      </c>
      <c r="M124" s="71">
        <f t="shared" si="95"/>
        <v>0</v>
      </c>
      <c r="N124" s="71">
        <f t="shared" si="95"/>
        <v>0</v>
      </c>
      <c r="O124" s="71">
        <f t="shared" si="95"/>
        <v>0</v>
      </c>
      <c r="P124" s="71">
        <f t="shared" si="95"/>
        <v>0</v>
      </c>
      <c r="Q124" s="71">
        <f t="shared" si="95"/>
        <v>0</v>
      </c>
      <c r="R124" s="71">
        <f t="shared" si="95"/>
        <v>0</v>
      </c>
      <c r="S124" s="71">
        <f t="shared" si="95"/>
        <v>9110.2698250794747</v>
      </c>
      <c r="T124" s="71">
        <f t="shared" si="95"/>
        <v>9671.8902379445517</v>
      </c>
      <c r="U124" s="71">
        <f>U122-U123</f>
        <v>10249.920123667192</v>
      </c>
      <c r="V124" s="71">
        <f t="shared" ref="V124:AE124" si="96">V122-V123</f>
        <v>10844.35948224739</v>
      </c>
      <c r="W124" s="71">
        <f t="shared" si="96"/>
        <v>11455.208313685156</v>
      </c>
      <c r="X124" s="71">
        <f t="shared" si="96"/>
        <v>12082.466617980477</v>
      </c>
      <c r="Y124" s="71">
        <f t="shared" si="96"/>
        <v>12726.134395133364</v>
      </c>
      <c r="Z124" s="71">
        <f t="shared" si="96"/>
        <v>13386.211645143812</v>
      </c>
      <c r="AA124" s="71">
        <f t="shared" si="96"/>
        <v>14062.698368011821</v>
      </c>
      <c r="AB124" s="71">
        <f t="shared" si="96"/>
        <v>14755.594563737395</v>
      </c>
      <c r="AC124" s="71">
        <f t="shared" si="96"/>
        <v>15464.900232320528</v>
      </c>
      <c r="AD124" s="71">
        <f t="shared" si="96"/>
        <v>16190.615373761233</v>
      </c>
      <c r="AE124" s="71">
        <f t="shared" si="96"/>
        <v>16932.739988059489</v>
      </c>
      <c r="AF124" s="71">
        <f t="shared" ref="AF124:AQ124" si="97">AF122-AF123</f>
        <v>17691.274075215319</v>
      </c>
      <c r="AG124" s="71">
        <f t="shared" si="97"/>
        <v>18466.217635228692</v>
      </c>
      <c r="AH124" s="71">
        <f t="shared" si="97"/>
        <v>19257.570668099645</v>
      </c>
      <c r="AI124" s="71">
        <f t="shared" si="97"/>
        <v>20065.333173828152</v>
      </c>
      <c r="AJ124" s="71">
        <f t="shared" si="97"/>
        <v>20889.505152414229</v>
      </c>
      <c r="AK124" s="71">
        <f t="shared" si="97"/>
        <v>21730.086603857861</v>
      </c>
      <c r="AL124" s="71">
        <f t="shared" si="97"/>
        <v>22587.077528159054</v>
      </c>
      <c r="AM124" s="71">
        <f t="shared" si="97"/>
        <v>23460.477925317809</v>
      </c>
      <c r="AN124" s="71">
        <f t="shared" si="97"/>
        <v>24350.287795334134</v>
      </c>
      <c r="AO124" s="71">
        <f t="shared" si="97"/>
        <v>25256.507138208013</v>
      </c>
      <c r="AP124" s="71">
        <f t="shared" si="97"/>
        <v>26179.135953939462</v>
      </c>
      <c r="AQ124" s="71">
        <f t="shared" si="97"/>
        <v>27118.174242528468</v>
      </c>
      <c r="AR124" s="71">
        <f t="shared" ref="AR124" si="98">AR122-AR123</f>
        <v>28073.622003975044</v>
      </c>
    </row>
    <row r="125" spans="1:44">
      <c r="A125" s="23"/>
      <c r="B125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51"/>
      <c r="AL125" s="51"/>
      <c r="AM125" s="51"/>
      <c r="AN125" s="51"/>
      <c r="AO125" s="51"/>
      <c r="AP125" s="51"/>
      <c r="AQ125" s="51"/>
      <c r="AR125" s="51"/>
    </row>
    <row r="126" spans="1:44">
      <c r="A126" s="37" t="s">
        <v>214</v>
      </c>
      <c r="B126" s="38"/>
      <c r="C126" s="38"/>
      <c r="D126" s="49">
        <f>D118-D122</f>
        <v>86259.628935788263</v>
      </c>
      <c r="E126" s="49">
        <f t="shared" ref="E126:AB126" si="99">E118-E122</f>
        <v>98102.181957211316</v>
      </c>
      <c r="F126" s="49">
        <f t="shared" si="99"/>
        <v>109927.66100836886</v>
      </c>
      <c r="G126" s="49">
        <f t="shared" si="99"/>
        <v>121736.06608926084</v>
      </c>
      <c r="H126" s="49">
        <f t="shared" si="99"/>
        <v>133527.39719988726</v>
      </c>
      <c r="I126" s="49">
        <f t="shared" si="99"/>
        <v>145301.65434024823</v>
      </c>
      <c r="J126" s="49">
        <f t="shared" si="99"/>
        <v>157058.83751034355</v>
      </c>
      <c r="K126" s="49">
        <f t="shared" si="99"/>
        <v>168798.94671017348</v>
      </c>
      <c r="L126" s="49">
        <f t="shared" si="99"/>
        <v>180521.98193973777</v>
      </c>
      <c r="M126" s="49">
        <f t="shared" si="99"/>
        <v>192227.94319903653</v>
      </c>
      <c r="N126" s="49">
        <f t="shared" si="99"/>
        <v>203916.8304880698</v>
      </c>
      <c r="O126" s="49">
        <f t="shared" si="99"/>
        <v>215588.64380683756</v>
      </c>
      <c r="P126" s="49">
        <f t="shared" si="99"/>
        <v>227243.38315533969</v>
      </c>
      <c r="Q126" s="49">
        <f t="shared" si="99"/>
        <v>238881.04853357631</v>
      </c>
      <c r="R126" s="49">
        <f t="shared" si="99"/>
        <v>250501.63994154747</v>
      </c>
      <c r="S126" s="49">
        <f t="shared" si="99"/>
        <v>262105.15737925313</v>
      </c>
      <c r="T126" s="49">
        <f t="shared" si="99"/>
        <v>273691.60084669309</v>
      </c>
      <c r="U126" s="49">
        <f t="shared" si="99"/>
        <v>285260.97034386755</v>
      </c>
      <c r="V126" s="49">
        <f t="shared" si="99"/>
        <v>296813.26587077661</v>
      </c>
      <c r="W126" s="49">
        <f t="shared" si="99"/>
        <v>308348.48742741998</v>
      </c>
      <c r="X126" s="49">
        <f t="shared" si="99"/>
        <v>319866.63501379796</v>
      </c>
      <c r="Y126" s="49">
        <f t="shared" si="99"/>
        <v>331367.70862991037</v>
      </c>
      <c r="Z126" s="49">
        <f t="shared" si="99"/>
        <v>342851.70827575726</v>
      </c>
      <c r="AA126" s="49">
        <f t="shared" si="99"/>
        <v>354318.63395133859</v>
      </c>
      <c r="AB126" s="49">
        <f t="shared" si="99"/>
        <v>365768.48565665423</v>
      </c>
      <c r="AC126" s="49">
        <f>AC118-AC122</f>
        <v>377201.26339170453</v>
      </c>
      <c r="AD126" s="49">
        <f t="shared" ref="AD126:AN126" si="100">AD118-AD122</f>
        <v>388616.96715648932</v>
      </c>
      <c r="AE126" s="49">
        <f t="shared" si="100"/>
        <v>400015.59695100837</v>
      </c>
      <c r="AF126" s="49">
        <f t="shared" si="100"/>
        <v>411397.15277526213</v>
      </c>
      <c r="AG126" s="49">
        <f t="shared" si="100"/>
        <v>422761.63462925021</v>
      </c>
      <c r="AH126" s="49">
        <f t="shared" si="100"/>
        <v>434109.04251297278</v>
      </c>
      <c r="AI126" s="49">
        <f t="shared" si="100"/>
        <v>445439.3764264299</v>
      </c>
      <c r="AJ126" s="49">
        <f t="shared" si="100"/>
        <v>456752.63636962138</v>
      </c>
      <c r="AK126" s="49">
        <f t="shared" si="100"/>
        <v>468048.82234254724</v>
      </c>
      <c r="AL126" s="49">
        <f t="shared" si="100"/>
        <v>479327.93434520788</v>
      </c>
      <c r="AM126" s="49">
        <f t="shared" si="100"/>
        <v>490589.97237760271</v>
      </c>
      <c r="AN126" s="49">
        <f t="shared" si="100"/>
        <v>501834.93643973203</v>
      </c>
      <c r="AO126" s="49">
        <f>AO118-AO122</f>
        <v>513062.8265315959</v>
      </c>
      <c r="AP126" s="49">
        <f t="shared" ref="AP126:AQ126" si="101">AP118-AP122</f>
        <v>524273.6426531942</v>
      </c>
      <c r="AQ126" s="49">
        <f t="shared" si="101"/>
        <v>535467.38480452693</v>
      </c>
      <c r="AR126" s="49">
        <f t="shared" ref="AR126" si="102">AR118-AR122</f>
        <v>546644.05298559426</v>
      </c>
    </row>
    <row r="127" spans="1:44">
      <c r="A127" s="26" t="s">
        <v>233</v>
      </c>
      <c r="D127" s="50">
        <f>D119-D123</f>
        <v>86259.628935788263</v>
      </c>
      <c r="E127" s="50">
        <f t="shared" ref="E127:AB127" si="103">E119-E123</f>
        <v>98102.181957211316</v>
      </c>
      <c r="F127" s="50">
        <f t="shared" si="103"/>
        <v>109927.66100836886</v>
      </c>
      <c r="G127" s="50">
        <f t="shared" si="103"/>
        <v>121736.06608926084</v>
      </c>
      <c r="H127" s="50">
        <f t="shared" si="103"/>
        <v>133527.39719988726</v>
      </c>
      <c r="I127" s="50">
        <f t="shared" si="103"/>
        <v>145301.65434024823</v>
      </c>
      <c r="J127" s="50">
        <f t="shared" si="103"/>
        <v>157058.83751034355</v>
      </c>
      <c r="K127" s="50">
        <f t="shared" si="103"/>
        <v>168798.94671017348</v>
      </c>
      <c r="L127" s="50">
        <f t="shared" si="103"/>
        <v>180521.98193973777</v>
      </c>
      <c r="M127" s="50">
        <f t="shared" si="103"/>
        <v>192227.94319903653</v>
      </c>
      <c r="N127" s="50">
        <f t="shared" si="103"/>
        <v>203916.8304880698</v>
      </c>
      <c r="O127" s="50">
        <f t="shared" si="103"/>
        <v>215588.64380683756</v>
      </c>
      <c r="P127" s="50">
        <f t="shared" si="103"/>
        <v>227243.38315533969</v>
      </c>
      <c r="Q127" s="50">
        <f t="shared" si="103"/>
        <v>238881.04853357631</v>
      </c>
      <c r="R127" s="50">
        <f t="shared" si="103"/>
        <v>250501.63994154747</v>
      </c>
      <c r="S127" s="50">
        <f t="shared" si="103"/>
        <v>40019.775030419492</v>
      </c>
      <c r="T127" s="50">
        <f t="shared" si="103"/>
        <v>41078.231573768106</v>
      </c>
      <c r="U127" s="50">
        <f t="shared" si="103"/>
        <v>42145.027242897137</v>
      </c>
      <c r="V127" s="50">
        <f t="shared" si="103"/>
        <v>43220.162037806607</v>
      </c>
      <c r="W127" s="50">
        <f t="shared" si="103"/>
        <v>44303.635958496518</v>
      </c>
      <c r="X127" s="50">
        <f t="shared" si="103"/>
        <v>45395.449004966853</v>
      </c>
      <c r="Y127" s="50">
        <f t="shared" si="103"/>
        <v>46495.601177217628</v>
      </c>
      <c r="Z127" s="50">
        <f t="shared" si="103"/>
        <v>47604.092475248843</v>
      </c>
      <c r="AA127" s="50">
        <f t="shared" si="103"/>
        <v>48720.922899060482</v>
      </c>
      <c r="AB127" s="50">
        <f t="shared" si="103"/>
        <v>49846.092448652569</v>
      </c>
      <c r="AC127" s="50">
        <f>AC119-AC123</f>
        <v>50979.601124025081</v>
      </c>
      <c r="AD127" s="50">
        <f t="shared" ref="AD127:AN127" si="104">AD119-AD123</f>
        <v>52121.448925178032</v>
      </c>
      <c r="AE127" s="50">
        <f t="shared" si="104"/>
        <v>53271.635852111416</v>
      </c>
      <c r="AF127" s="50">
        <f t="shared" si="104"/>
        <v>54430.161904825218</v>
      </c>
      <c r="AG127" s="50">
        <f t="shared" si="104"/>
        <v>55597.027083319481</v>
      </c>
      <c r="AH127" s="50">
        <f t="shared" si="104"/>
        <v>56772.231387594169</v>
      </c>
      <c r="AI127" s="50">
        <f t="shared" si="104"/>
        <v>57955.774817649282</v>
      </c>
      <c r="AJ127" s="50">
        <f t="shared" si="104"/>
        <v>59147.657373484835</v>
      </c>
      <c r="AK127" s="50">
        <f t="shared" si="104"/>
        <v>60347.879055100828</v>
      </c>
      <c r="AL127" s="50">
        <f t="shared" si="104"/>
        <v>61556.439862497253</v>
      </c>
      <c r="AM127" s="50">
        <f t="shared" si="104"/>
        <v>62773.339795674125</v>
      </c>
      <c r="AN127" s="50">
        <f t="shared" si="104"/>
        <v>63998.578854631407</v>
      </c>
      <c r="AO127" s="50">
        <f>AO119-AO123</f>
        <v>65232.157039369151</v>
      </c>
      <c r="AP127" s="50">
        <f t="shared" ref="AP127:AQ127" si="105">AP119-AP123</f>
        <v>66474.074349887291</v>
      </c>
      <c r="AQ127" s="50">
        <f t="shared" si="105"/>
        <v>67724.330786185892</v>
      </c>
      <c r="AR127" s="50">
        <f t="shared" ref="AR127" si="106">AR119-AR123</f>
        <v>68982.926348264926</v>
      </c>
    </row>
    <row r="128" spans="1:44">
      <c r="A128" s="39" t="s">
        <v>30</v>
      </c>
      <c r="B128" s="40"/>
      <c r="C128" s="40"/>
      <c r="D128" s="71">
        <f>D126-D127</f>
        <v>0</v>
      </c>
      <c r="E128" s="71">
        <f t="shared" ref="E128:AB128" si="107">E126-E127</f>
        <v>0</v>
      </c>
      <c r="F128" s="71">
        <f t="shared" si="107"/>
        <v>0</v>
      </c>
      <c r="G128" s="71">
        <f t="shared" si="107"/>
        <v>0</v>
      </c>
      <c r="H128" s="71">
        <f t="shared" si="107"/>
        <v>0</v>
      </c>
      <c r="I128" s="71">
        <f t="shared" si="107"/>
        <v>0</v>
      </c>
      <c r="J128" s="71">
        <f t="shared" si="107"/>
        <v>0</v>
      </c>
      <c r="K128" s="71">
        <f t="shared" si="107"/>
        <v>0</v>
      </c>
      <c r="L128" s="71">
        <f t="shared" si="107"/>
        <v>0</v>
      </c>
      <c r="M128" s="71">
        <f t="shared" si="107"/>
        <v>0</v>
      </c>
      <c r="N128" s="71">
        <f t="shared" si="107"/>
        <v>0</v>
      </c>
      <c r="O128" s="71">
        <f t="shared" si="107"/>
        <v>0</v>
      </c>
      <c r="P128" s="71">
        <f t="shared" si="107"/>
        <v>0</v>
      </c>
      <c r="Q128" s="71">
        <f t="shared" si="107"/>
        <v>0</v>
      </c>
      <c r="R128" s="71">
        <f t="shared" si="107"/>
        <v>0</v>
      </c>
      <c r="S128" s="71">
        <f t="shared" si="107"/>
        <v>222085.38234883363</v>
      </c>
      <c r="T128" s="71">
        <f t="shared" si="107"/>
        <v>232613.36927292499</v>
      </c>
      <c r="U128" s="71">
        <f t="shared" si="107"/>
        <v>243115.94310097041</v>
      </c>
      <c r="V128" s="71">
        <f t="shared" si="107"/>
        <v>253593.10383296999</v>
      </c>
      <c r="W128" s="71">
        <f t="shared" si="107"/>
        <v>264044.85146892344</v>
      </c>
      <c r="X128" s="71">
        <f t="shared" si="107"/>
        <v>274471.18600883114</v>
      </c>
      <c r="Y128" s="71">
        <f t="shared" si="107"/>
        <v>284872.10745269276</v>
      </c>
      <c r="Z128" s="71">
        <f t="shared" si="107"/>
        <v>295247.61580050841</v>
      </c>
      <c r="AA128" s="71">
        <f t="shared" si="107"/>
        <v>305597.71105227811</v>
      </c>
      <c r="AB128" s="71">
        <f t="shared" si="107"/>
        <v>315922.39320800168</v>
      </c>
      <c r="AC128" s="71">
        <f>AC126-AC127</f>
        <v>326221.66226767947</v>
      </c>
      <c r="AD128" s="71">
        <f t="shared" ref="AD128" si="108">AD126-AD127</f>
        <v>336495.51823131129</v>
      </c>
      <c r="AE128" s="71">
        <f t="shared" ref="AE128" si="109">AE126-AE127</f>
        <v>346743.96109889692</v>
      </c>
      <c r="AF128" s="71">
        <f t="shared" ref="AF128" si="110">AF126-AF127</f>
        <v>356966.99087043689</v>
      </c>
      <c r="AG128" s="71">
        <f t="shared" ref="AG128" si="111">AG126-AG127</f>
        <v>367164.60754593072</v>
      </c>
      <c r="AH128" s="71">
        <f t="shared" ref="AH128" si="112">AH126-AH127</f>
        <v>377336.81112537859</v>
      </c>
      <c r="AI128" s="71">
        <f t="shared" ref="AI128" si="113">AI126-AI127</f>
        <v>387483.60160878062</v>
      </c>
      <c r="AJ128" s="71">
        <f t="shared" ref="AJ128" si="114">AJ126-AJ127</f>
        <v>397604.97899613658</v>
      </c>
      <c r="AK128" s="71">
        <f t="shared" ref="AK128" si="115">AK126-AK127</f>
        <v>407700.9432874464</v>
      </c>
      <c r="AL128" s="71">
        <f t="shared" ref="AL128" si="116">AL126-AL127</f>
        <v>417771.49448271061</v>
      </c>
      <c r="AM128" s="71">
        <f t="shared" ref="AM128" si="117">AM126-AM127</f>
        <v>427816.63258192857</v>
      </c>
      <c r="AN128" s="71">
        <f t="shared" ref="AN128" si="118">AN126-AN127</f>
        <v>437836.35758510063</v>
      </c>
      <c r="AO128" s="71">
        <f>AO126-AO127</f>
        <v>447830.66949222673</v>
      </c>
      <c r="AP128" s="71">
        <f t="shared" ref="AP128:AR128" si="119">AP126-AP127</f>
        <v>457799.56830330694</v>
      </c>
      <c r="AQ128" s="71">
        <f t="shared" ref="AQ128" si="120">AQ126-AQ127</f>
        <v>467743.054018341</v>
      </c>
      <c r="AR128" s="71">
        <f t="shared" si="119"/>
        <v>477661.12663732935</v>
      </c>
    </row>
    <row r="130" spans="1:31" ht="16" thickBot="1">
      <c r="A130" s="32" t="s">
        <v>27</v>
      </c>
      <c r="B130" s="32"/>
      <c r="C130" s="3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6"/>
      <c r="V130" s="46"/>
    </row>
    <row r="131" spans="1:31">
      <c r="A131" t="s">
        <v>31</v>
      </c>
      <c r="D131" s="48">
        <f>'Summary of Benefits'!D168</f>
        <v>345</v>
      </c>
      <c r="E131" t="s">
        <v>32</v>
      </c>
      <c r="F131" t="s">
        <v>217</v>
      </c>
    </row>
    <row r="132" spans="1:31" ht="15">
      <c r="A132" t="s">
        <v>72</v>
      </c>
      <c r="D132" s="181">
        <f>I150</f>
        <v>7.3803333843095273E-2</v>
      </c>
      <c r="E132" s="22" t="s">
        <v>372</v>
      </c>
      <c r="F132"/>
    </row>
    <row r="133" spans="1:31" ht="29">
      <c r="A133"/>
      <c r="D133" s="192">
        <f>I160</f>
        <v>2.6935768551914666E-2</v>
      </c>
      <c r="E133" s="22" t="s">
        <v>64</v>
      </c>
      <c r="F133"/>
    </row>
    <row r="134" spans="1:31" ht="29">
      <c r="A134"/>
      <c r="D134" s="192">
        <f>I170</f>
        <v>4.0213854021385401E-2</v>
      </c>
      <c r="E134" s="22" t="s">
        <v>65</v>
      </c>
      <c r="F134"/>
      <c r="W134" s="51"/>
    </row>
    <row r="135" spans="1:31">
      <c r="W135" s="51"/>
    </row>
    <row r="136" spans="1:31" ht="16" thickBot="1">
      <c r="A136" s="32" t="s">
        <v>223</v>
      </c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</row>
    <row r="137" spans="1:31" s="22" customFormat="1">
      <c r="A137" s="23" t="s">
        <v>236</v>
      </c>
      <c r="B137" s="1"/>
      <c r="F137" s="271" t="s">
        <v>218</v>
      </c>
      <c r="G137" s="271"/>
      <c r="H137" s="271"/>
      <c r="I137" s="271"/>
      <c r="J137" s="271"/>
      <c r="K137" s="271"/>
      <c r="L137" s="271"/>
      <c r="M137" s="271"/>
      <c r="N137" s="271"/>
      <c r="O137" s="271"/>
      <c r="P137" s="271"/>
      <c r="Q137" s="271"/>
      <c r="R137" s="271"/>
      <c r="S137" s="275" t="s">
        <v>35</v>
      </c>
      <c r="AD137" s="1"/>
      <c r="AE137" s="1"/>
    </row>
    <row r="138" spans="1:31">
      <c r="A138" t="s">
        <v>312</v>
      </c>
      <c r="E138"/>
      <c r="F138" s="24">
        <v>1</v>
      </c>
      <c r="G138" s="24">
        <v>2</v>
      </c>
      <c r="H138" s="24">
        <v>3</v>
      </c>
      <c r="I138" s="24">
        <v>4</v>
      </c>
      <c r="J138" s="24">
        <v>5</v>
      </c>
      <c r="K138" s="24">
        <v>6</v>
      </c>
      <c r="L138" s="24">
        <v>7</v>
      </c>
      <c r="M138" s="24">
        <v>8</v>
      </c>
      <c r="N138" s="24">
        <v>9</v>
      </c>
      <c r="O138" s="24">
        <v>10</v>
      </c>
      <c r="P138" s="24">
        <v>11</v>
      </c>
      <c r="Q138" s="24">
        <v>12</v>
      </c>
      <c r="R138" s="24">
        <v>13</v>
      </c>
      <c r="S138" s="267"/>
    </row>
    <row r="139" spans="1:31">
      <c r="D139" s="175"/>
      <c r="E139" s="173"/>
      <c r="F139" s="268" t="s">
        <v>224</v>
      </c>
      <c r="G139" s="268"/>
      <c r="H139" s="268"/>
      <c r="I139" s="265" t="s">
        <v>225</v>
      </c>
      <c r="J139" s="265"/>
      <c r="K139" s="265"/>
      <c r="L139" s="265"/>
      <c r="M139" s="265" t="s">
        <v>226</v>
      </c>
      <c r="N139" s="265"/>
      <c r="O139" s="265"/>
      <c r="P139" s="265"/>
      <c r="Q139" s="265"/>
      <c r="R139" s="265"/>
      <c r="S139" s="267" t="s">
        <v>35</v>
      </c>
    </row>
    <row r="140" spans="1:31">
      <c r="D140" s="175"/>
      <c r="E140" s="173"/>
      <c r="F140" s="268"/>
      <c r="G140" s="268"/>
      <c r="H140" s="268"/>
      <c r="I140" s="263" t="s">
        <v>55</v>
      </c>
      <c r="J140" s="263"/>
      <c r="K140" s="263"/>
      <c r="L140" s="263"/>
      <c r="M140" s="263"/>
      <c r="N140" s="263"/>
      <c r="O140" s="263"/>
      <c r="P140" s="263"/>
      <c r="Q140" s="263"/>
      <c r="R140" s="263"/>
      <c r="S140" s="267"/>
    </row>
    <row r="141" spans="1:31">
      <c r="D141" s="274" t="s">
        <v>219</v>
      </c>
      <c r="E141" s="277" t="s">
        <v>221</v>
      </c>
      <c r="F141" s="174">
        <f t="shared" ref="F141:R141" si="121">F143/$S141</f>
        <v>9.2220828105395239E-3</v>
      </c>
      <c r="G141" s="174">
        <f t="shared" si="121"/>
        <v>0.6316185696361355</v>
      </c>
      <c r="H141" s="174">
        <f t="shared" si="121"/>
        <v>0.28350062735257214</v>
      </c>
      <c r="I141" s="174">
        <f t="shared" si="121"/>
        <v>7.7164366373902137E-3</v>
      </c>
      <c r="J141" s="174">
        <f t="shared" si="121"/>
        <v>9.0338770388958597E-3</v>
      </c>
      <c r="K141" s="174">
        <f t="shared" si="121"/>
        <v>4.2659974905897118E-3</v>
      </c>
      <c r="L141" s="174">
        <f t="shared" si="121"/>
        <v>3.1367628607277288E-4</v>
      </c>
      <c r="M141" s="174">
        <f t="shared" si="121"/>
        <v>5.7089084065244664E-3</v>
      </c>
      <c r="N141" s="174">
        <f t="shared" si="121"/>
        <v>4.8557089084065246E-2</v>
      </c>
      <c r="O141" s="174">
        <f t="shared" si="121"/>
        <v>6.2735257214554575E-5</v>
      </c>
      <c r="P141" s="174">
        <f t="shared" si="121"/>
        <v>0</v>
      </c>
      <c r="Q141" s="174">
        <f t="shared" si="121"/>
        <v>0</v>
      </c>
      <c r="R141" s="174">
        <f t="shared" si="121"/>
        <v>0</v>
      </c>
      <c r="S141" s="276">
        <f>SUM(F143:R143)</f>
        <v>15940</v>
      </c>
    </row>
    <row r="142" spans="1:31">
      <c r="D142" s="274"/>
      <c r="E142" s="277"/>
      <c r="F142" s="273">
        <f>F144/S141</f>
        <v>0.92434127979924718</v>
      </c>
      <c r="G142" s="273"/>
      <c r="H142" s="273"/>
      <c r="I142" s="272">
        <f>I144/S141</f>
        <v>7.565872020075283E-2</v>
      </c>
      <c r="J142" s="272"/>
      <c r="K142" s="272"/>
      <c r="L142" s="272"/>
      <c r="M142" s="272"/>
      <c r="N142" s="272"/>
      <c r="O142" s="272"/>
      <c r="P142" s="272"/>
      <c r="Q142" s="272"/>
      <c r="R142" s="272"/>
      <c r="S142" s="276"/>
    </row>
    <row r="143" spans="1:31">
      <c r="D143" s="274"/>
      <c r="E143" s="277" t="s">
        <v>222</v>
      </c>
      <c r="F143" s="1">
        <v>147</v>
      </c>
      <c r="G143" s="1">
        <v>10068</v>
      </c>
      <c r="H143" s="1">
        <v>4519</v>
      </c>
      <c r="I143" s="1">
        <v>123</v>
      </c>
      <c r="J143" s="1">
        <v>144</v>
      </c>
      <c r="K143" s="1">
        <v>68</v>
      </c>
      <c r="L143" s="1">
        <v>5</v>
      </c>
      <c r="M143" s="1">
        <v>91</v>
      </c>
      <c r="N143" s="1">
        <v>774</v>
      </c>
      <c r="O143" s="1">
        <v>1</v>
      </c>
      <c r="P143" s="1">
        <v>0</v>
      </c>
      <c r="Q143" s="1">
        <v>0</v>
      </c>
      <c r="R143" s="1">
        <v>0</v>
      </c>
      <c r="S143" s="276"/>
    </row>
    <row r="144" spans="1:31">
      <c r="D144" s="274"/>
      <c r="E144" s="277"/>
      <c r="F144" s="270">
        <f>SUM(F143:H143)</f>
        <v>14734</v>
      </c>
      <c r="G144" s="270"/>
      <c r="H144" s="270"/>
      <c r="I144" s="261">
        <f>SUM(I143:R143)</f>
        <v>1206</v>
      </c>
      <c r="J144" s="261"/>
      <c r="K144" s="261"/>
      <c r="L144" s="261"/>
      <c r="M144" s="261"/>
      <c r="N144" s="261"/>
      <c r="O144" s="261"/>
      <c r="P144" s="261"/>
      <c r="Q144" s="261"/>
      <c r="R144" s="261"/>
      <c r="S144" s="276"/>
    </row>
    <row r="145" spans="1:19">
      <c r="D145" s="274" t="s">
        <v>220</v>
      </c>
      <c r="E145" s="277" t="s">
        <v>221</v>
      </c>
      <c r="F145" s="174">
        <f t="shared" ref="F145:R145" si="122">F147/$S145</f>
        <v>1.486123545210385E-2</v>
      </c>
      <c r="G145" s="174">
        <f t="shared" si="122"/>
        <v>0.62524619516562219</v>
      </c>
      <c r="H145" s="174">
        <f t="shared" si="122"/>
        <v>0.28785437182930468</v>
      </c>
      <c r="I145" s="174">
        <f t="shared" si="122"/>
        <v>1.289167412712623E-2</v>
      </c>
      <c r="J145" s="174">
        <f t="shared" si="122"/>
        <v>8.8331841241420465E-3</v>
      </c>
      <c r="K145" s="174">
        <f t="shared" si="122"/>
        <v>6.4458370635631151E-3</v>
      </c>
      <c r="L145" s="174">
        <f t="shared" si="122"/>
        <v>8.3557147120262608E-4</v>
      </c>
      <c r="M145" s="174">
        <f t="shared" si="122"/>
        <v>5.4908982393315426E-3</v>
      </c>
      <c r="N145" s="174">
        <f t="shared" si="122"/>
        <v>3.7541032527603699E-2</v>
      </c>
      <c r="O145" s="174">
        <f t="shared" si="122"/>
        <v>0</v>
      </c>
      <c r="P145" s="174">
        <f t="shared" si="122"/>
        <v>0</v>
      </c>
      <c r="Q145" s="174">
        <f t="shared" si="122"/>
        <v>0</v>
      </c>
      <c r="R145" s="174">
        <f t="shared" si="122"/>
        <v>0</v>
      </c>
      <c r="S145" s="276">
        <f>SUM(F147:R147)</f>
        <v>16755</v>
      </c>
    </row>
    <row r="146" spans="1:19">
      <c r="D146" s="274"/>
      <c r="E146" s="277"/>
      <c r="F146" s="273">
        <f>F148/S145</f>
        <v>0.92796180244703075</v>
      </c>
      <c r="G146" s="273"/>
      <c r="H146" s="273"/>
      <c r="I146" s="272">
        <f>I148/S145</f>
        <v>7.2038197552969266E-2</v>
      </c>
      <c r="J146" s="272"/>
      <c r="K146" s="272"/>
      <c r="L146" s="272"/>
      <c r="M146" s="272"/>
      <c r="N146" s="272"/>
      <c r="O146" s="272"/>
      <c r="P146" s="272"/>
      <c r="Q146" s="272"/>
      <c r="R146" s="272"/>
      <c r="S146" s="276"/>
    </row>
    <row r="147" spans="1:19">
      <c r="D147" s="274"/>
      <c r="E147" s="277" t="s">
        <v>222</v>
      </c>
      <c r="F147" s="1">
        <v>249</v>
      </c>
      <c r="G147" s="1">
        <v>10476</v>
      </c>
      <c r="H147" s="1">
        <v>4823</v>
      </c>
      <c r="I147" s="1">
        <v>216</v>
      </c>
      <c r="J147" s="1">
        <v>148</v>
      </c>
      <c r="K147" s="1">
        <v>108</v>
      </c>
      <c r="L147" s="1">
        <v>14</v>
      </c>
      <c r="M147" s="1">
        <v>92</v>
      </c>
      <c r="N147" s="1">
        <v>629</v>
      </c>
      <c r="O147" s="1">
        <v>0</v>
      </c>
      <c r="P147" s="1">
        <v>0</v>
      </c>
      <c r="Q147" s="1">
        <v>0</v>
      </c>
      <c r="R147" s="1">
        <v>0</v>
      </c>
      <c r="S147" s="276"/>
    </row>
    <row r="148" spans="1:19">
      <c r="D148" s="274"/>
      <c r="E148" s="277"/>
      <c r="F148" s="270">
        <f>SUM(F147:H147)</f>
        <v>15548</v>
      </c>
      <c r="G148" s="270"/>
      <c r="H148" s="270"/>
      <c r="I148" s="261">
        <f>SUM(I147:R147)</f>
        <v>1207</v>
      </c>
      <c r="J148" s="261"/>
      <c r="K148" s="261"/>
      <c r="L148" s="261"/>
      <c r="M148" s="261"/>
      <c r="N148" s="261"/>
      <c r="O148" s="261"/>
      <c r="P148" s="261"/>
      <c r="Q148" s="261"/>
      <c r="R148" s="261"/>
      <c r="S148" s="276"/>
    </row>
    <row r="149" spans="1:19">
      <c r="D149" s="274" t="s">
        <v>35</v>
      </c>
      <c r="E149" s="277" t="s">
        <v>221</v>
      </c>
      <c r="F149" s="174">
        <f t="shared" ref="F149:R149" si="123">F151/$S149</f>
        <v>1.2111943722281695E-2</v>
      </c>
      <c r="G149" s="174">
        <f t="shared" si="123"/>
        <v>0.62835295916806855</v>
      </c>
      <c r="H149" s="174">
        <f t="shared" si="123"/>
        <v>0.28573176326655453</v>
      </c>
      <c r="I149" s="174">
        <f t="shared" si="123"/>
        <v>1.036855788346842E-2</v>
      </c>
      <c r="J149" s="174">
        <f t="shared" si="123"/>
        <v>8.9310292093592297E-3</v>
      </c>
      <c r="K149" s="174">
        <f t="shared" si="123"/>
        <v>5.383086098791864E-3</v>
      </c>
      <c r="L149" s="174">
        <f t="shared" si="123"/>
        <v>5.8112861293775804E-4</v>
      </c>
      <c r="M149" s="174">
        <f t="shared" si="123"/>
        <v>5.5971861140847222E-3</v>
      </c>
      <c r="N149" s="174">
        <f t="shared" si="123"/>
        <v>4.2911760207982874E-2</v>
      </c>
      <c r="O149" s="174">
        <f t="shared" si="123"/>
        <v>3.0585716470408317E-5</v>
      </c>
      <c r="P149" s="174">
        <f t="shared" si="123"/>
        <v>0</v>
      </c>
      <c r="Q149" s="174">
        <f t="shared" si="123"/>
        <v>0</v>
      </c>
      <c r="R149" s="174">
        <f t="shared" si="123"/>
        <v>0</v>
      </c>
      <c r="S149" s="276">
        <f>SUM(F151:R151)</f>
        <v>32695</v>
      </c>
    </row>
    <row r="150" spans="1:19">
      <c r="D150" s="274"/>
      <c r="E150" s="277"/>
      <c r="F150" s="273">
        <f>F152/S149</f>
        <v>0.92619666615690477</v>
      </c>
      <c r="G150" s="273"/>
      <c r="H150" s="273"/>
      <c r="I150" s="272">
        <f>I152/S149</f>
        <v>7.3803333843095273E-2</v>
      </c>
      <c r="J150" s="272"/>
      <c r="K150" s="272"/>
      <c r="L150" s="272"/>
      <c r="M150" s="272"/>
      <c r="N150" s="272"/>
      <c r="O150" s="272"/>
      <c r="P150" s="272"/>
      <c r="Q150" s="272"/>
      <c r="R150" s="272"/>
      <c r="S150" s="276"/>
    </row>
    <row r="151" spans="1:19">
      <c r="D151" s="274"/>
      <c r="E151" s="277" t="s">
        <v>222</v>
      </c>
      <c r="F151" s="1">
        <v>396</v>
      </c>
      <c r="G151" s="1">
        <v>20544</v>
      </c>
      <c r="H151" s="1">
        <v>9342</v>
      </c>
      <c r="I151" s="1">
        <v>339</v>
      </c>
      <c r="J151" s="1">
        <v>292</v>
      </c>
      <c r="K151" s="1">
        <v>176</v>
      </c>
      <c r="L151" s="1">
        <v>19</v>
      </c>
      <c r="M151" s="1">
        <v>183</v>
      </c>
      <c r="N151" s="1">
        <v>1403</v>
      </c>
      <c r="O151" s="1">
        <v>1</v>
      </c>
      <c r="P151" s="1">
        <v>0</v>
      </c>
      <c r="Q151" s="1">
        <v>0</v>
      </c>
      <c r="R151" s="1">
        <v>0</v>
      </c>
      <c r="S151" s="276"/>
    </row>
    <row r="152" spans="1:19">
      <c r="D152" s="274"/>
      <c r="E152" s="277"/>
      <c r="F152" s="270">
        <f>SUM(F151:H151)</f>
        <v>30282</v>
      </c>
      <c r="G152" s="270"/>
      <c r="H152" s="270"/>
      <c r="I152" s="261">
        <f>SUM(I151:R151)</f>
        <v>2413</v>
      </c>
      <c r="J152" s="261"/>
      <c r="K152" s="261"/>
      <c r="L152" s="261"/>
      <c r="M152" s="261"/>
      <c r="N152" s="261"/>
      <c r="O152" s="261"/>
      <c r="P152" s="261"/>
      <c r="Q152" s="261"/>
      <c r="R152" s="261"/>
      <c r="S152" s="276"/>
    </row>
    <row r="154" spans="1:19" ht="14" thickBot="1">
      <c r="A154" s="23" t="s">
        <v>237</v>
      </c>
    </row>
    <row r="155" spans="1:19">
      <c r="A155" t="s">
        <v>238</v>
      </c>
      <c r="F155" s="271" t="s">
        <v>218</v>
      </c>
      <c r="G155" s="271"/>
      <c r="H155" s="271"/>
      <c r="I155" s="271"/>
      <c r="J155" s="271"/>
      <c r="K155" s="271"/>
      <c r="L155" s="271"/>
      <c r="M155" s="271"/>
      <c r="N155" s="271"/>
      <c r="O155" s="271"/>
      <c r="P155" s="271"/>
      <c r="Q155" s="271"/>
      <c r="R155" s="271"/>
    </row>
    <row r="156" spans="1:19">
      <c r="E156"/>
      <c r="F156" s="24">
        <v>1</v>
      </c>
      <c r="G156" s="24">
        <v>2</v>
      </c>
      <c r="H156" s="24">
        <v>3</v>
      </c>
      <c r="I156" s="24">
        <v>4</v>
      </c>
      <c r="J156" s="24">
        <v>5</v>
      </c>
      <c r="K156" s="24">
        <v>6</v>
      </c>
      <c r="L156" s="24">
        <v>7</v>
      </c>
      <c r="M156" s="24">
        <v>8</v>
      </c>
      <c r="N156" s="24">
        <v>9</v>
      </c>
      <c r="O156" s="24">
        <v>10</v>
      </c>
      <c r="P156" s="24">
        <v>11</v>
      </c>
      <c r="Q156" s="24">
        <v>12</v>
      </c>
      <c r="R156" s="24">
        <v>13</v>
      </c>
    </row>
    <row r="157" spans="1:19" ht="13" customHeight="1">
      <c r="D157" s="175"/>
      <c r="E157" s="173"/>
      <c r="F157" s="268" t="s">
        <v>224</v>
      </c>
      <c r="G157" s="268"/>
      <c r="H157" s="268"/>
      <c r="I157" s="265" t="s">
        <v>225</v>
      </c>
      <c r="J157" s="265"/>
      <c r="K157" s="265"/>
      <c r="L157" s="265"/>
      <c r="M157" s="265" t="s">
        <v>226</v>
      </c>
      <c r="N157" s="265"/>
      <c r="O157" s="265"/>
      <c r="P157" s="265"/>
      <c r="Q157" s="265"/>
      <c r="R157" s="265"/>
    </row>
    <row r="158" spans="1:19" ht="13" customHeight="1">
      <c r="D158" s="175"/>
      <c r="E158" s="173"/>
      <c r="F158" s="268"/>
      <c r="G158" s="268"/>
      <c r="H158" s="268"/>
      <c r="I158" s="263" t="s">
        <v>55</v>
      </c>
      <c r="J158" s="263"/>
      <c r="K158" s="263"/>
      <c r="L158" s="263"/>
      <c r="M158" s="263"/>
      <c r="N158" s="263"/>
      <c r="O158" s="263"/>
      <c r="P158" s="263"/>
      <c r="Q158" s="263"/>
      <c r="R158" s="263"/>
    </row>
    <row r="159" spans="1:19">
      <c r="D159" s="175" t="s">
        <v>35</v>
      </c>
      <c r="E159" s="176" t="s">
        <v>221</v>
      </c>
      <c r="F159" s="174">
        <f>F161/$S161</f>
        <v>9.2855498426828338E-3</v>
      </c>
      <c r="G159" s="174">
        <f t="shared" ref="G159:R159" si="124">G161/$S161</f>
        <v>0.7706238968613307</v>
      </c>
      <c r="H159" s="174">
        <f t="shared" si="124"/>
        <v>0.19315478474407183</v>
      </c>
      <c r="I159" s="174">
        <f t="shared" si="124"/>
        <v>3.9137441485687973E-3</v>
      </c>
      <c r="J159" s="174">
        <f t="shared" si="124"/>
        <v>2.8393830097459905E-3</v>
      </c>
      <c r="K159" s="174">
        <f t="shared" si="124"/>
        <v>1.0743611388228071E-2</v>
      </c>
      <c r="L159" s="174">
        <f t="shared" si="124"/>
        <v>1.3813214642007521E-3</v>
      </c>
      <c r="M159" s="174">
        <f t="shared" si="124"/>
        <v>2.6091627657125315E-3</v>
      </c>
      <c r="N159" s="174">
        <f t="shared" si="124"/>
        <v>3.7602639858798251E-3</v>
      </c>
      <c r="O159" s="174">
        <f t="shared" si="124"/>
        <v>7.6740081344486225E-4</v>
      </c>
      <c r="P159" s="174">
        <f t="shared" si="124"/>
        <v>5.3718056941140361E-4</v>
      </c>
      <c r="Q159" s="174">
        <f t="shared" si="124"/>
        <v>0</v>
      </c>
      <c r="R159" s="174">
        <f t="shared" si="124"/>
        <v>3.8370040672243113E-4</v>
      </c>
    </row>
    <row r="160" spans="1:19">
      <c r="D160" s="175"/>
      <c r="E160" s="176"/>
      <c r="F160" s="273">
        <f>F162/S161</f>
        <v>0.97306423144808529</v>
      </c>
      <c r="G160" s="273"/>
      <c r="H160" s="273"/>
      <c r="I160" s="272">
        <f>I162/S161</f>
        <v>2.6935768551914666E-2</v>
      </c>
      <c r="J160" s="272"/>
      <c r="K160" s="272"/>
      <c r="L160" s="272"/>
      <c r="M160" s="272"/>
      <c r="N160" s="272"/>
      <c r="O160" s="272"/>
      <c r="P160" s="272"/>
      <c r="Q160" s="272"/>
      <c r="R160" s="272"/>
    </row>
    <row r="161" spans="1:19">
      <c r="D161" s="175"/>
      <c r="E161" s="176" t="s">
        <v>222</v>
      </c>
      <c r="F161" s="1">
        <v>121</v>
      </c>
      <c r="G161" s="1">
        <v>10042</v>
      </c>
      <c r="H161" s="1">
        <v>2517</v>
      </c>
      <c r="I161" s="1">
        <v>51</v>
      </c>
      <c r="J161" s="1">
        <v>37</v>
      </c>
      <c r="K161" s="1">
        <v>140</v>
      </c>
      <c r="L161" s="1">
        <v>18</v>
      </c>
      <c r="M161" s="1">
        <v>34</v>
      </c>
      <c r="N161" s="1">
        <v>49</v>
      </c>
      <c r="O161" s="1">
        <v>10</v>
      </c>
      <c r="P161" s="1">
        <v>7</v>
      </c>
      <c r="Q161" s="1">
        <v>0</v>
      </c>
      <c r="R161" s="1">
        <v>5</v>
      </c>
      <c r="S161" s="22">
        <f>SUM(F161:R161)</f>
        <v>13031</v>
      </c>
    </row>
    <row r="162" spans="1:19">
      <c r="D162" s="175"/>
      <c r="E162" s="176"/>
      <c r="F162" s="270">
        <f>SUM(F161:H161)</f>
        <v>12680</v>
      </c>
      <c r="G162" s="270"/>
      <c r="H162" s="270"/>
      <c r="I162" s="261">
        <f>SUM(I161:R161)</f>
        <v>351</v>
      </c>
      <c r="J162" s="261"/>
      <c r="K162" s="261"/>
      <c r="L162" s="261"/>
      <c r="M162" s="261"/>
      <c r="N162" s="261"/>
      <c r="O162" s="261"/>
      <c r="P162" s="261"/>
      <c r="Q162" s="261"/>
      <c r="R162" s="261"/>
    </row>
    <row r="164" spans="1:19" ht="14" thickBot="1">
      <c r="A164" s="23" t="s">
        <v>240</v>
      </c>
    </row>
    <row r="165" spans="1:19" ht="13" customHeight="1">
      <c r="A165" t="s">
        <v>313</v>
      </c>
      <c r="F165" s="271" t="s">
        <v>218</v>
      </c>
      <c r="G165" s="271"/>
      <c r="H165" s="271"/>
      <c r="I165" s="271"/>
      <c r="J165" s="271"/>
      <c r="K165" s="271"/>
      <c r="L165" s="271"/>
      <c r="M165" s="271"/>
      <c r="N165" s="271"/>
      <c r="O165" s="271"/>
      <c r="P165" s="271"/>
      <c r="Q165" s="271"/>
      <c r="R165" s="271"/>
    </row>
    <row r="166" spans="1:19">
      <c r="E166"/>
      <c r="F166" s="24">
        <v>1</v>
      </c>
      <c r="G166" s="24">
        <v>2</v>
      </c>
      <c r="H166" s="24">
        <v>3</v>
      </c>
      <c r="I166" s="24">
        <v>4</v>
      </c>
      <c r="J166" s="24">
        <v>5</v>
      </c>
      <c r="K166" s="24">
        <v>6</v>
      </c>
      <c r="L166" s="24">
        <v>7</v>
      </c>
      <c r="M166" s="24">
        <v>8</v>
      </c>
      <c r="N166" s="24">
        <v>9</v>
      </c>
      <c r="O166" s="24">
        <v>10</v>
      </c>
      <c r="P166" s="24">
        <v>11</v>
      </c>
      <c r="Q166" s="24">
        <v>12</v>
      </c>
      <c r="R166" s="24">
        <v>13</v>
      </c>
    </row>
    <row r="167" spans="1:19" ht="13" customHeight="1">
      <c r="D167" s="175"/>
      <c r="E167" s="173"/>
      <c r="F167" s="268" t="s">
        <v>224</v>
      </c>
      <c r="G167" s="268"/>
      <c r="H167" s="268"/>
      <c r="I167" s="265" t="s">
        <v>225</v>
      </c>
      <c r="J167" s="265"/>
      <c r="K167" s="265"/>
      <c r="L167" s="265"/>
      <c r="M167" s="265" t="s">
        <v>226</v>
      </c>
      <c r="N167" s="265"/>
      <c r="O167" s="265"/>
      <c r="P167" s="265"/>
      <c r="Q167" s="265"/>
      <c r="R167" s="265"/>
    </row>
    <row r="168" spans="1:19" ht="13" customHeight="1">
      <c r="D168" s="175"/>
      <c r="E168" s="173"/>
      <c r="F168" s="268"/>
      <c r="G168" s="268"/>
      <c r="H168" s="268"/>
      <c r="I168" s="263" t="s">
        <v>55</v>
      </c>
      <c r="J168" s="263"/>
      <c r="K168" s="263"/>
      <c r="L168" s="263"/>
      <c r="M168" s="263"/>
      <c r="N168" s="263"/>
      <c r="O168" s="263"/>
      <c r="P168" s="263"/>
      <c r="Q168" s="263"/>
      <c r="R168" s="263"/>
    </row>
    <row r="169" spans="1:19">
      <c r="D169" s="175" t="s">
        <v>35</v>
      </c>
      <c r="E169" s="176" t="s">
        <v>221</v>
      </c>
      <c r="F169" s="174">
        <f>F171/$S171</f>
        <v>2.0455602045560205E-2</v>
      </c>
      <c r="G169" s="174">
        <f t="shared" ref="G169:R169" si="125">G171/$S171</f>
        <v>0.62412831241283129</v>
      </c>
      <c r="H169" s="174">
        <f t="shared" si="125"/>
        <v>0.31520223152022314</v>
      </c>
      <c r="I169" s="174">
        <f t="shared" si="125"/>
        <v>1.2784751278475127E-2</v>
      </c>
      <c r="J169" s="174">
        <f t="shared" si="125"/>
        <v>9.9953509995351006E-3</v>
      </c>
      <c r="K169" s="174">
        <f t="shared" si="125"/>
        <v>7.9033007903300794E-3</v>
      </c>
      <c r="L169" s="174">
        <f t="shared" si="125"/>
        <v>0</v>
      </c>
      <c r="M169" s="174">
        <f t="shared" si="125"/>
        <v>1.3947001394700139E-3</v>
      </c>
      <c r="N169" s="174">
        <f t="shared" si="125"/>
        <v>7.2059507205950724E-3</v>
      </c>
      <c r="O169" s="174">
        <f t="shared" si="125"/>
        <v>2.3245002324500232E-4</v>
      </c>
      <c r="P169" s="174">
        <f t="shared" si="125"/>
        <v>2.3245002324500232E-4</v>
      </c>
      <c r="Q169" s="174">
        <f t="shared" si="125"/>
        <v>0</v>
      </c>
      <c r="R169" s="174">
        <f t="shared" si="125"/>
        <v>4.6490004649000463E-4</v>
      </c>
    </row>
    <row r="170" spans="1:19">
      <c r="D170" s="175"/>
      <c r="E170" s="176"/>
      <c r="F170" s="273">
        <f>F172/S171</f>
        <v>0.95978614597861456</v>
      </c>
      <c r="G170" s="273"/>
      <c r="H170" s="273"/>
      <c r="I170" s="272">
        <f>I172/S171</f>
        <v>4.0213854021385401E-2</v>
      </c>
      <c r="J170" s="272"/>
      <c r="K170" s="272"/>
      <c r="L170" s="272"/>
      <c r="M170" s="272"/>
      <c r="N170" s="272"/>
      <c r="O170" s="272"/>
      <c r="P170" s="272"/>
      <c r="Q170" s="272"/>
      <c r="R170" s="272"/>
    </row>
    <row r="171" spans="1:19">
      <c r="D171" s="175"/>
      <c r="E171" s="176" t="s">
        <v>222</v>
      </c>
      <c r="F171" s="1">
        <v>88</v>
      </c>
      <c r="G171" s="1">
        <v>2685</v>
      </c>
      <c r="H171" s="1">
        <v>1356</v>
      </c>
      <c r="I171" s="1">
        <v>55</v>
      </c>
      <c r="J171" s="1">
        <v>43</v>
      </c>
      <c r="K171" s="1">
        <v>34</v>
      </c>
      <c r="L171" s="1">
        <v>0</v>
      </c>
      <c r="M171" s="1">
        <v>6</v>
      </c>
      <c r="N171" s="1">
        <v>31</v>
      </c>
      <c r="O171" s="1">
        <v>1</v>
      </c>
      <c r="P171" s="1">
        <v>1</v>
      </c>
      <c r="Q171" s="1">
        <v>0</v>
      </c>
      <c r="R171" s="1">
        <v>2</v>
      </c>
      <c r="S171" s="22">
        <f>SUM(F171:R171)</f>
        <v>4302</v>
      </c>
    </row>
    <row r="172" spans="1:19">
      <c r="D172" s="175"/>
      <c r="E172" s="176"/>
      <c r="F172" s="270">
        <f>SUM(F171:H171)</f>
        <v>4129</v>
      </c>
      <c r="G172" s="270"/>
      <c r="H172" s="270"/>
      <c r="I172" s="261">
        <f>SUM(I171:R171)</f>
        <v>173</v>
      </c>
      <c r="J172" s="261"/>
      <c r="K172" s="261"/>
      <c r="L172" s="261"/>
      <c r="M172" s="261"/>
      <c r="N172" s="261"/>
      <c r="O172" s="261"/>
      <c r="P172" s="261"/>
      <c r="Q172" s="261"/>
      <c r="R172" s="261"/>
    </row>
  </sheetData>
  <mergeCells count="49">
    <mergeCell ref="D149:D152"/>
    <mergeCell ref="E149:E150"/>
    <mergeCell ref="S149:S152"/>
    <mergeCell ref="F150:H150"/>
    <mergeCell ref="I150:R150"/>
    <mergeCell ref="E151:E152"/>
    <mergeCell ref="F152:H152"/>
    <mergeCell ref="I152:R152"/>
    <mergeCell ref="E145:E146"/>
    <mergeCell ref="S145:S148"/>
    <mergeCell ref="F146:H146"/>
    <mergeCell ref="I146:R146"/>
    <mergeCell ref="E147:E148"/>
    <mergeCell ref="F148:H148"/>
    <mergeCell ref="I148:R148"/>
    <mergeCell ref="D145:D148"/>
    <mergeCell ref="S139:S140"/>
    <mergeCell ref="F137:R137"/>
    <mergeCell ref="S137:S138"/>
    <mergeCell ref="S141:S144"/>
    <mergeCell ref="I140:R140"/>
    <mergeCell ref="F139:H140"/>
    <mergeCell ref="I139:L139"/>
    <mergeCell ref="M139:R139"/>
    <mergeCell ref="F142:H142"/>
    <mergeCell ref="I142:R142"/>
    <mergeCell ref="F144:H144"/>
    <mergeCell ref="I144:R144"/>
    <mergeCell ref="D141:D144"/>
    <mergeCell ref="E141:E142"/>
    <mergeCell ref="E143:E144"/>
    <mergeCell ref="I172:R172"/>
    <mergeCell ref="F172:H172"/>
    <mergeCell ref="F170:H170"/>
    <mergeCell ref="I167:L167"/>
    <mergeCell ref="M167:R167"/>
    <mergeCell ref="I168:R168"/>
    <mergeCell ref="F167:H168"/>
    <mergeCell ref="I162:R162"/>
    <mergeCell ref="F162:H162"/>
    <mergeCell ref="F155:R155"/>
    <mergeCell ref="F165:R165"/>
    <mergeCell ref="I170:R170"/>
    <mergeCell ref="F160:H160"/>
    <mergeCell ref="F157:H158"/>
    <mergeCell ref="I157:L157"/>
    <mergeCell ref="M157:R157"/>
    <mergeCell ref="I158:R158"/>
    <mergeCell ref="I160:R160"/>
  </mergeCells>
  <pageMargins left="0.7" right="0.7" top="0.75" bottom="0.75" header="0.3" footer="0.3"/>
  <pageSetup paperSize="3" scale="54" orientation="landscape" r:id="rId1"/>
  <ignoredErrors>
    <ignoredError sqref="AC2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</vt:i4>
      </vt:variant>
    </vt:vector>
  </HeadingPairs>
  <TitlesOfParts>
    <vt:vector size="14" baseType="lpstr">
      <vt:lpstr>BCA Summary</vt:lpstr>
      <vt:lpstr>BCA</vt:lpstr>
      <vt:lpstr>Summary of Benefits</vt:lpstr>
      <vt:lpstr>Timeline &amp; Costs</vt:lpstr>
      <vt:lpstr>Safety - Veh</vt:lpstr>
      <vt:lpstr>Safety - Railroad</vt:lpstr>
      <vt:lpstr>Train Operating Costs</vt:lpstr>
      <vt:lpstr>Travel Time Savings</vt:lpstr>
      <vt:lpstr>Operations &amp; Maintenance</vt:lpstr>
      <vt:lpstr>Residual Value</vt:lpstr>
      <vt:lpstr>Emissions Reductions</vt:lpstr>
      <vt:lpstr>Traffic</vt:lpstr>
      <vt:lpstr>'Summary of Benefits'!Print_Area</vt:lpstr>
      <vt:lpstr>'Timeline &amp; Costs'!Print_Area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Rachel.Ackermann</dc:creator>
  <cp:lastModifiedBy>Rachel Ackermann</cp:lastModifiedBy>
  <cp:lastPrinted>2018-07-17T14:50:12Z</cp:lastPrinted>
  <dcterms:created xsi:type="dcterms:W3CDTF">2018-06-27T22:28:04Z</dcterms:created>
  <dcterms:modified xsi:type="dcterms:W3CDTF">2026-02-19T15:38:12Z</dcterms:modified>
</cp:coreProperties>
</file>